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" yWindow="65516" windowWidth="30800" windowHeight="20940" firstSheet="1" activeTab="4"/>
  </bookViews>
  <sheets>
    <sheet name="Gem types" sheetId="1" state="hidden" r:id="rId1"/>
    <sheet name="Gem results" sheetId="2" r:id="rId2"/>
    <sheet name="Jewelry results" sheetId="3" r:id="rId3"/>
    <sheet name="Jewelry calculations" sheetId="4" state="hidden" r:id="rId4"/>
    <sheet name="Treasurer Creator" sheetId="5" r:id="rId5"/>
    <sheet name="Treasurer table" sheetId="6" state="hidden" r:id="rId6"/>
  </sheets>
  <definedNames>
    <definedName name="achievement" localSheetId="3">'Jewelry calculations'!$S$331</definedName>
    <definedName name="aketon" localSheetId="3">'Jewelry calculations'!$M$25</definedName>
    <definedName name="ancient" localSheetId="3">'Jewelry calculations'!$S$335</definedName>
    <definedName name="augment" localSheetId="3">'Jewelry calculations'!$S$347</definedName>
    <definedName name="aventail" localSheetId="3">'Jewelry calculations'!$M$31</definedName>
    <definedName name="badge" localSheetId="3">'Jewelry calculations'!$S$349</definedName>
    <definedName name="bearing" localSheetId="3">'Jewelry calculations'!$S$363</definedName>
    <definedName name="bend" localSheetId="3">'Jewelry calculations'!$S$364</definedName>
    <definedName name="bill" localSheetId="3">'Jewelry calculations'!$M$45</definedName>
    <definedName name="blazon" localSheetId="3">'Jewelry calculations'!$S$378</definedName>
    <definedName name="braies" localSheetId="3">'Jewelry calculations'!$M$47</definedName>
    <definedName name="brigantine" localSheetId="3">'Jewelry calculations'!$M$49</definedName>
    <definedName name="buckle" localSheetId="3">'Jewelry calculations'!$M$51</definedName>
    <definedName name="cabochon" localSheetId="3">'Jewelry calculations'!#REF!</definedName>
    <definedName name="cadency" localSheetId="3">'Jewelry calculations'!$S$389</definedName>
    <definedName name="caftan" localSheetId="3">'Jewelry calculations'!$M$52</definedName>
    <definedName name="cameo" localSheetId="3">'Jewelry calculations'!$M$56</definedName>
    <definedName name="chaperon" localSheetId="3">'Jewelry calculations'!$M$62</definedName>
    <definedName name="chaplet" localSheetId="3">'Jewelry calculations'!#REF!</definedName>
    <definedName name="chaplet1" localSheetId="3">'Jewelry calculations'!$S$396</definedName>
    <definedName name="charge" localSheetId="3">'Jewelry calculations'!$S$397</definedName>
    <definedName name="chausse" localSheetId="3">'Jewelry calculations'!$M$68</definedName>
    <definedName name="clasp" localSheetId="3">'Jewelry calculations'!$M$74</definedName>
    <definedName name="cloisonne" localSheetId="3">'Jewelry calculations'!$M$78</definedName>
    <definedName name="cluster" localSheetId="3">'Jewelry calculations'!$M$80</definedName>
    <definedName name="cornettes" localSheetId="3">'Jewelry calculations'!$M$92</definedName>
    <definedName name="coronet" localSheetId="3">'Jewelry calculations'!$M$88</definedName>
    <definedName name="coronet1" localSheetId="3">'Jewelry calculations'!$S$436</definedName>
    <definedName name="cotehardie" localSheetId="3">'Jewelry calculations'!$M$94</definedName>
    <definedName name="cotte" localSheetId="3">'Jewelry calculations'!$M$96</definedName>
    <definedName name="couchant" localSheetId="3">'Jewelry calculations'!$S$449</definedName>
    <definedName name="coudier" localSheetId="3">'Jewelry calculations'!$M$100</definedName>
    <definedName name="crackowes" localSheetId="3">'Jewelry calculations'!$M$106</definedName>
    <definedName name="crest" localSheetId="3">'Jewelry calculations'!$S$471</definedName>
    <definedName name="crown" localSheetId="3">'Jewelry calculations'!$M$112</definedName>
    <definedName name="cyclas" localSheetId="3">'Jewelry calculations'!$M$118</definedName>
    <definedName name="dexter" localSheetId="3">'Jewelry calculations'!$S$497</definedName>
    <definedName name="diadem" localSheetId="3">'Jewelry calculations'!$M$126</definedName>
    <definedName name="diaper" localSheetId="3">'Jewelry calculations'!$S$498</definedName>
    <definedName name="doublet" localSheetId="3">'Jewelry calculations'!$M$128</definedName>
    <definedName name="enamel" localSheetId="3">'Jewelry calculations'!$M$130</definedName>
    <definedName name="enseigne" localSheetId="3">'Jewelry calculations'!$M$132</definedName>
    <definedName name="epaulieres" localSheetId="3">'Jewelry calculations'!$M$134</definedName>
    <definedName name="fenamel" localSheetId="3">'Jewelry calculations'!$M$146</definedName>
    <definedName name="fess" localSheetId="3">'Jewelry calculations'!$S$558</definedName>
    <definedName name="fibula" localSheetId="3">'Jewelry calculations'!$M$142</definedName>
    <definedName name="filigree" localSheetId="3">'Jewelry calculations'!$M$144</definedName>
    <definedName name="fleur" localSheetId="3">'Jewelry calculations'!$S$575</definedName>
    <definedName name="fret" localSheetId="3">'Jewelry calculations'!$S$589</definedName>
    <definedName name="gen" localSheetId="3">'Jewelry calculations'!$M$21</definedName>
    <definedName name="gipon" localSheetId="3">'Jewelry calculations'!$M$158</definedName>
    <definedName name="glaive" localSheetId="3">'Jewelry calculations'!$M$160</definedName>
    <definedName name="greatsword" localSheetId="3">'Jewelry calculations'!$M$168</definedName>
    <definedName name="greaves" localSheetId="3">'Jewelry calculations'!$M$170</definedName>
    <definedName name="guardant" localSheetId="3">'Jewelry calculations'!$S$613</definedName>
    <definedName name="hauberk" localSheetId="3">'Jewelry calculations'!$M$180</definedName>
    <definedName name="helmet" localSheetId="3">'Jewelry calculations'!$S$623</definedName>
    <definedName name="herigaut" localSheetId="3">'Jewelry calculations'!$M$182</definedName>
    <definedName name="houce" localSheetId="3">'Jewelry calculations'!$M$184</definedName>
    <definedName name="impale" localSheetId="3">'Jewelry calculations'!$S$631</definedName>
    <definedName name="inesc" localSheetId="3">'Jewelry calculations'!$S$633</definedName>
    <definedName name="insignia" localSheetId="3">'Jewelry calculations'!$M$186</definedName>
    <definedName name="intaglio" localSheetId="3">'Jewelry calculations'!$S$188</definedName>
    <definedName name="issuant" localSheetId="3">'Jewelry calculations'!$S$635</definedName>
    <definedName name="jaque" localSheetId="3">'Jewelry calculations'!$S$192</definedName>
    <definedName name="javelin" localSheetId="3">'Jewelry calculations'!$S$196</definedName>
    <definedName name="liripipe" localSheetId="3">'Jewelry calculations'!$S$208</definedName>
    <definedName name="longsword" localSheetId="3">'Jewelry calculations'!$S$210</definedName>
    <definedName name="lozenge" localSheetId="3">'Jewelry calculations'!$S$648</definedName>
    <definedName name="mantling" localSheetId="3">'Jewelry calculations'!$S$656</definedName>
    <definedName name="mascle" localSheetId="3">'Jewelry calculations'!$S$659</definedName>
    <definedName name="messer" localSheetId="3">'Jewelry calculations'!$S$218</definedName>
    <definedName name="mitre" localSheetId="3">'Jewelry calculations'!$S$220</definedName>
    <definedName name="modern" localSheetId="3">'Jewelry calculations'!$S$672</definedName>
    <definedName name="nebul" localSheetId="3">'Jewelry calculations'!$S$230</definedName>
    <definedName name="nebuly" localSheetId="3">'Jewelry calculations'!$S$679</definedName>
    <definedName name="niello" localSheetId="3">'Jewelry calculations'!$S$232</definedName>
    <definedName name="ord" localSheetId="3">'Jewelry calculations'!$S$681</definedName>
    <definedName name="orle" localSheetId="3">'Jewelry calculations'!$S$682</definedName>
    <definedName name="pale" localSheetId="3">'Jewelry calculations'!$S$687</definedName>
    <definedName name="palewise" localSheetId="3">'Jewelry calculations'!$S$692</definedName>
    <definedName name="passant" localSheetId="3">'Jewelry calculations'!$S$715</definedName>
    <definedName name="plackard" localSheetId="3">'Jewelry calculations'!$S$244</definedName>
    <definedName name="pourpoint" localSheetId="3">'Jewelry calculations'!$S$252</definedName>
    <definedName name="quartering" localSheetId="3">'Jewelry calculations'!$S$742</definedName>
    <definedName name="quatref" localSheetId="3">'Jewelry calculations'!$S$747</definedName>
    <definedName name="rampant" localSheetId="3">'Jewelry calculations'!$S$750</definedName>
    <definedName name="regalia" localSheetId="3">'Jewelry calculations'!$S$254</definedName>
    <definedName name="repousse" localSheetId="3">'Jewelry calculations'!$S$256</definedName>
    <definedName name="ringbrooch" localSheetId="3">'Jewelry calculations'!$S$260</definedName>
    <definedName name="rising" localSheetId="3">'Jewelry calculations'!$S$760</definedName>
    <definedName name="riveting" localSheetId="3">'Jewelry calculations'!$S$262</definedName>
    <definedName name="robe" localSheetId="3">'Jewelry calculations'!$S$264</definedName>
    <definedName name="sabre" localSheetId="3">'Jewelry calculations'!$S$266</definedName>
    <definedName name="saltire" localSheetId="3">'Jewelry calculations'!$S$768</definedName>
    <definedName name="sceptre" localSheetId="3">'Jewelry calculations'!$S$270</definedName>
    <definedName name="sinister" localSheetId="3">'Jewelry calculations'!$S$779</definedName>
    <definedName name="soldering" localSheetId="3">'Jewelry calculations'!$S$274</definedName>
    <definedName name="statant" localSheetId="3">'Jewelry calculations'!$S$781</definedName>
    <definedName name="supporter" localSheetId="3">'Jewelry calculations'!$S$785</definedName>
    <definedName name="surcot" localSheetId="3">'Jewelry calculations'!$S$282</definedName>
    <definedName name="tiara" localSheetId="3">'Jewelry calculations'!$S$290</definedName>
    <definedName name="tights" localSheetId="3">'Jewelry calculations'!$S$294</definedName>
    <definedName name="tincture" localSheetId="3">'Jewelry calculations'!$S$802</definedName>
    <definedName name="touaille" localSheetId="3">'Jewelry calculations'!$S$296</definedName>
    <definedName name="trefoil" localSheetId="3">'Jewelry calculations'!$S$805</definedName>
    <definedName name="wheel" localSheetId="3">'Jewelry calculations'!$S$308</definedName>
  </definedNames>
  <calcPr fullCalcOnLoad="1"/>
</workbook>
</file>

<file path=xl/comments5.xml><?xml version="1.0" encoding="utf-8"?>
<comments xmlns="http://schemas.openxmlformats.org/spreadsheetml/2006/main">
  <authors>
    <author>Jim Kramer (Press)</author>
  </authors>
  <commentList>
    <comment ref="AC31" authorId="0">
      <text>
        <r>
          <rPr>
            <b/>
            <sz val="8"/>
            <rFont val="Tahoma"/>
            <family val="0"/>
          </rPr>
          <t>Usherwood Adventures:</t>
        </r>
        <r>
          <rPr>
            <sz val="8"/>
            <rFont val="Tahoma"/>
            <family val="0"/>
          </rPr>
          <t xml:space="preserve">
Click to view gems in this casche</t>
        </r>
      </text>
    </comment>
    <comment ref="AH31" authorId="0">
      <text>
        <r>
          <rPr>
            <b/>
            <sz val="8"/>
            <rFont val="Tahoma"/>
            <family val="0"/>
          </rPr>
          <t>Usherwood Adventures:</t>
        </r>
        <r>
          <rPr>
            <sz val="8"/>
            <rFont val="Tahoma"/>
            <family val="0"/>
          </rPr>
          <t xml:space="preserve">
Click to view jewelry in this cache</t>
        </r>
      </text>
    </comment>
  </commentList>
</comments>
</file>

<file path=xl/sharedStrings.xml><?xml version="1.0" encoding="utf-8"?>
<sst xmlns="http://schemas.openxmlformats.org/spreadsheetml/2006/main" count="1618" uniqueCount="358">
  <si>
    <t>a type of fastener made of two parts, usually on a hook on one piece and a slot on the other</t>
  </si>
  <si>
    <t>a type of brooch in the form of ring brooch but having the centre space decorated with a large central gemstone surrounded by a cluster of smaller gemstones and pearls</t>
  </si>
  <si>
    <t>type of headdress; net made of gold or silver threads, sometimes decorated with gems or pearls</t>
  </si>
  <si>
    <t>a small or inferior type of crown, especially one worn by a person of high rank but lower than a sovereign</t>
  </si>
  <si>
    <t>a royal head-dress of sovereignty, worn by a monarch or consort</t>
  </si>
  <si>
    <t>an ornamented band, made of metal, worn around the brow of a man or woman</t>
  </si>
  <si>
    <t>a type of badge, worn on the hat or cap of a man of prominence</t>
  </si>
  <si>
    <t>a type of ancient garment-fastener brooch consisting usually of a straight pin that is coiled to form a spring and extended back to form a bow and a catch-plate to secure the pin</t>
  </si>
  <si>
    <t>a type of clasp primarily for fastening a cape in front, for use by the clergy and decorated with a representation of a religious subject</t>
  </si>
  <si>
    <t>a type of brooch in the form of a complete ring to which is usually hinged a horizontal pin slightly longer than the diameter of the brooch</t>
  </si>
  <si>
    <t>a costly covering for the head, ornamented with precious stones and pearls, and is sometimes equipped with three royal diadems</t>
  </si>
  <si>
    <t>an adornment for the hand</t>
  </si>
  <si>
    <t>an adornment for the foot</t>
  </si>
  <si>
    <t>a common adornment which lays across the shoulders and across the chest, usually clasped at the back of the neck</t>
  </si>
  <si>
    <t>a type of brooch in the form of a circle with ribs crossing the central space as spokes in a wheel, sometimes having the ribs decorated with gemstones</t>
  </si>
  <si>
    <t>a clasp or pin usually used to secure one's clothing at the front</t>
  </si>
  <si>
    <t>an adornment for the wrist</t>
  </si>
  <si>
    <t>an adornment for the lower arms</t>
  </si>
  <si>
    <t>an adornment for the ears, sometimes also used in the nose or navel</t>
  </si>
  <si>
    <t>Use</t>
  </si>
  <si>
    <t>a decorative piece which generally is hung from a matching necklace</t>
  </si>
  <si>
    <t>Rock Crystal</t>
  </si>
  <si>
    <t>clear</t>
  </si>
  <si>
    <t>Sardonyx</t>
  </si>
  <si>
    <t>Total value of cache:</t>
  </si>
  <si>
    <t>red, red-brown, deep green, or very deep blue (the most prized)</t>
  </si>
  <si>
    <t>Topaz</t>
  </si>
  <si>
    <t>golden yellow</t>
  </si>
  <si>
    <t>wards off evil spells</t>
  </si>
  <si>
    <t>Value</t>
  </si>
  <si>
    <t>very small</t>
  </si>
  <si>
    <t>controls bodies of fresh water</t>
  </si>
  <si>
    <t>aids horses in all ways, but shatters upon use</t>
  </si>
  <si>
    <t>controls bodies of salt water</t>
  </si>
  <si>
    <t>pink or yellow-white with grayish or greenish moss markings</t>
  </si>
  <si>
    <t>aids druids, controls plant life</t>
  </si>
  <si>
    <t>protection from good</t>
  </si>
  <si>
    <t>ensures healthy pregnancy, and eases delivery of babies</t>
  </si>
  <si>
    <t>protection against large cats (tigers, lions, panthers, etc.)</t>
  </si>
  <si>
    <t>induces severe flatulance</t>
  </si>
  <si>
    <t>aids magic-users and illusionists</t>
  </si>
  <si>
    <t>aids clerics and paladins, increases effectiveness of healing spells</t>
  </si>
  <si>
    <t>protection from poison</t>
  </si>
  <si>
    <t>induces love and passion</t>
  </si>
  <si>
    <t>charms intelligent, water-dwelling creatures</t>
  </si>
  <si>
    <t>aids fisherman</t>
  </si>
  <si>
    <t>curses enemies, required for casting an 'evil-eye' curse</t>
  </si>
  <si>
    <t>guarantees safety while traveling the ocean</t>
  </si>
  <si>
    <t>aids rangers, enhances tracking skills, guarantees successful hunting</t>
  </si>
  <si>
    <t>summons fire, controls fire-using creatures</t>
  </si>
  <si>
    <t>summons volcanic activity</t>
  </si>
  <si>
    <t>influences humans and humanoids, increases charisma</t>
  </si>
  <si>
    <t>speeds overland travel</t>
  </si>
  <si>
    <t>controls the heavens</t>
  </si>
  <si>
    <t>aids monks, increases dexterity</t>
  </si>
  <si>
    <t>aids assassins, wards against demonic possession</t>
  </si>
  <si>
    <t>aids, bards, grants skill at music and musical instruments</t>
  </si>
  <si>
    <t>aids thieves and monks, grants stealthiness</t>
  </si>
  <si>
    <t>aids plant growth</t>
  </si>
  <si>
    <t>summons evil creatures</t>
  </si>
  <si>
    <t>protection frm dragon-kind</t>
  </si>
  <si>
    <t>g.p. value</t>
  </si>
  <si>
    <t>Category</t>
  </si>
  <si>
    <t>Brooch</t>
  </si>
  <si>
    <t>Value of Gems</t>
  </si>
  <si>
    <t>Actual (g.p.)</t>
  </si>
  <si>
    <t>Base (g.p.)</t>
  </si>
  <si>
    <t>none</t>
  </si>
  <si>
    <t>Gem type</t>
  </si>
  <si>
    <t>Oriental (elven) Amethyst</t>
  </si>
  <si>
    <t>Oriental (elven) Emerald</t>
  </si>
  <si>
    <t>Oriental (elven) Topaz</t>
  </si>
  <si>
    <t>Gem Description</t>
  </si>
  <si>
    <t>Reputed properites</t>
  </si>
  <si>
    <t>a fastener (sometimes used merely as an ornament) for a belt, girdle, etc.</t>
  </si>
  <si>
    <t>a type of head ornament in the form of a garland, wreath, or ornamented band</t>
  </si>
  <si>
    <t>Platinum</t>
  </si>
  <si>
    <t>Gems</t>
  </si>
  <si>
    <t>Jewelry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</si>
  <si>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</si>
  <si>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</si>
  <si>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</si>
  <si>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</si>
  <si>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</si>
  <si>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</si>
  <si>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</si>
  <si>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</si>
  <si>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</si>
  <si>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</si>
  <si>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</si>
  <si>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</si>
  <si>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</si>
  <si>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</si>
  <si>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</si>
  <si>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</si>
  <si>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</si>
  <si>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</si>
  <si>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</si>
  <si>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</si>
  <si>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</si>
  <si>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</si>
  <si>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</si>
  <si>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</si>
  <si>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</si>
  <si>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</si>
  <si>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-</t>
  </si>
  <si>
    <t>:</t>
  </si>
  <si>
    <t>Maps or Magic</t>
  </si>
  <si>
    <t>Any 3</t>
  </si>
  <si>
    <t>Sword, armor, or misc. weapon</t>
  </si>
  <si>
    <t>Any 2</t>
  </si>
  <si>
    <t>Large communities/ hordes</t>
  </si>
  <si>
    <t>Small communities/individuals</t>
  </si>
  <si>
    <t>in 1,000's if large community or horde</t>
  </si>
  <si>
    <t>Potions</t>
  </si>
  <si>
    <t>Scrolls</t>
  </si>
  <si>
    <t>Map</t>
  </si>
  <si>
    <t>Any 2 + 1 potion</t>
  </si>
  <si>
    <t>Any 3 + 1 scroll</t>
  </si>
  <si>
    <t>Any 4 + 1 scroll</t>
  </si>
  <si>
    <t>Any 4 + 1 potion &amp; 1 scroll</t>
  </si>
  <si>
    <t>1 misc. magic + 1 potion</t>
  </si>
  <si>
    <t>Any 3 except swords &amp; misc. weapons, + 1 potion &amp; 1 scroll</t>
  </si>
  <si>
    <t>bands of red and white onyx</t>
  </si>
  <si>
    <t>Smoky Quartz</t>
  </si>
  <si>
    <t>gray, yellow, or blue (cairngorm), all light</t>
  </si>
  <si>
    <t>Star Rose Quartz</t>
  </si>
  <si>
    <t>translucent rosy stone with white "star" center</t>
  </si>
  <si>
    <t>Zircon</t>
  </si>
  <si>
    <t>clear pale blue-green</t>
  </si>
  <si>
    <t>Amber</t>
  </si>
  <si>
    <t>watery gold to rich gold</t>
  </si>
  <si>
    <t>wards off disease</t>
  </si>
  <si>
    <t>Alexandrite</t>
  </si>
  <si>
    <t>dark green</t>
  </si>
  <si>
    <t>good omens</t>
  </si>
  <si>
    <t>Amethyst</t>
  </si>
  <si>
    <t>deep purple</t>
  </si>
  <si>
    <t>prevents drunkeness or drugging</t>
  </si>
  <si>
    <t>Aquamarine</t>
  </si>
  <si>
    <t>pale blue-green</t>
  </si>
  <si>
    <t>Chrysoberyl</t>
  </si>
  <si>
    <t>yellow-green to green</t>
  </si>
  <si>
    <t>protection from passion</t>
  </si>
  <si>
    <t>Coral</t>
  </si>
  <si>
    <t>crimson</t>
  </si>
  <si>
    <t>calms weather, safety in river crossing, cures madness, stanches bleeding</t>
  </si>
  <si>
    <t>light and dark blue with yellow flecks</t>
  </si>
  <si>
    <t>raises morale, courage</t>
  </si>
  <si>
    <t>induces restful sleep</t>
  </si>
  <si>
    <t>gray-black</t>
  </si>
  <si>
    <t>transparent</t>
  </si>
  <si>
    <t>G.P. value by Quality</t>
  </si>
  <si>
    <t>Semi-precious</t>
  </si>
  <si>
    <t>Bloodstone</t>
  </si>
  <si>
    <t>dark gray with red flecks</t>
  </si>
  <si>
    <t>weather control</t>
  </si>
  <si>
    <t>aids fighters, heals wounds</t>
  </si>
  <si>
    <t>Carnelian</t>
  </si>
  <si>
    <t>orange to reddish brown</t>
  </si>
  <si>
    <t>Chalcedony</t>
  </si>
  <si>
    <t>white</t>
  </si>
  <si>
    <t>wards off undead</t>
  </si>
  <si>
    <t>Citrine</t>
  </si>
  <si>
    <t>pale yellow brown</t>
  </si>
  <si>
    <t>Jasper</t>
  </si>
  <si>
    <t>blue, black to brown</t>
  </si>
  <si>
    <t>protection from venom</t>
  </si>
  <si>
    <t>protection from evil</t>
  </si>
  <si>
    <t>Moonstone</t>
  </si>
  <si>
    <t>white with pale blue glow</t>
  </si>
  <si>
    <t>causes lycanthropy</t>
  </si>
  <si>
    <t>Onyx</t>
  </si>
  <si>
    <t>bands of black and white, else pure black or white</t>
  </si>
  <si>
    <t>causes discord amongst enemies</t>
  </si>
  <si>
    <t>very fine</t>
  </si>
  <si>
    <t>imperfect</t>
  </si>
  <si>
    <t>flawed</t>
  </si>
  <si>
    <t>poor</t>
  </si>
  <si>
    <t>Tourmaline</t>
  </si>
  <si>
    <t>green pale, blue pale, brown pale, or reddish pale</t>
  </si>
  <si>
    <t>Chatsworth's Grindstone</t>
  </si>
  <si>
    <t>watery pink to deep crimson (the most prized)</t>
  </si>
  <si>
    <t>Black Opal</t>
  </si>
  <si>
    <t>Black Sapphire</t>
  </si>
  <si>
    <t>Diamond</t>
  </si>
  <si>
    <t>Emerald</t>
  </si>
  <si>
    <t>Fire Opal</t>
  </si>
  <si>
    <t>Jacinth</t>
  </si>
  <si>
    <t>Opal</t>
  </si>
  <si>
    <t>Ruby</t>
  </si>
  <si>
    <t>Sapphire</t>
  </si>
  <si>
    <t>Star Ruby</t>
  </si>
  <si>
    <t>Star Sapphire</t>
  </si>
  <si>
    <t>dark green with black mottling and golden flecks</t>
  </si>
  <si>
    <t>lustrous black with glowing highlights</t>
  </si>
  <si>
    <t>clear blue white with lesser stones clear white or pale tints</t>
  </si>
  <si>
    <t>deep bright green</t>
  </si>
  <si>
    <t>fiery red</t>
  </si>
  <si>
    <t>fiery orange</t>
  </si>
  <si>
    <t>Treasure type</t>
  </si>
  <si>
    <t>Copper</t>
  </si>
  <si>
    <t>Silver</t>
  </si>
  <si>
    <t>striated light and dark green</t>
  </si>
  <si>
    <t>protection from falling</t>
  </si>
  <si>
    <t>black</t>
  </si>
  <si>
    <t>light pink</t>
  </si>
  <si>
    <t>rich brown with golden center under-hue</t>
  </si>
  <si>
    <t>light blue-green</t>
  </si>
  <si>
    <t>Garnet</t>
  </si>
  <si>
    <t>red, brown-green, or violet (the most prized)</t>
  </si>
  <si>
    <t>Jade</t>
  </si>
  <si>
    <t>light green, deep green, green and white, white</t>
  </si>
  <si>
    <t>Jet</t>
  </si>
  <si>
    <t>deep black</t>
  </si>
  <si>
    <t>soul object material</t>
  </si>
  <si>
    <t>Pearl</t>
  </si>
  <si>
    <t>lustrous white, yellowish, pinkish, etc. to pure black (the most prized)</t>
  </si>
  <si>
    <t>Peridot</t>
  </si>
  <si>
    <t>rich olive green (Chrysolite)</t>
  </si>
  <si>
    <t>wards off enchaments</t>
  </si>
  <si>
    <t>Spinel</t>
  </si>
  <si>
    <t>1 of each magic excluding potions &amp; scrolls</t>
  </si>
  <si>
    <t>2 of each magic excluding potions &amp; scrolls</t>
  </si>
  <si>
    <t>Any 1</t>
  </si>
  <si>
    <t>Total</t>
  </si>
  <si>
    <t>Number of gems to calculate:</t>
  </si>
  <si>
    <t>Stone</t>
  </si>
  <si>
    <t>Qty</t>
  </si>
  <si>
    <t>Qual.</t>
  </si>
  <si>
    <t>G.P.</t>
  </si>
  <si>
    <t>Ornamental</t>
  </si>
  <si>
    <t>Fancy</t>
  </si>
  <si>
    <t>Gem</t>
  </si>
  <si>
    <t>Azurite</t>
  </si>
  <si>
    <t>Banded Agate</t>
  </si>
  <si>
    <t>Blue Quartz</t>
  </si>
  <si>
    <t>Eye Agate</t>
  </si>
  <si>
    <t>Hematite</t>
  </si>
  <si>
    <t>Lapis Lazuli</t>
  </si>
  <si>
    <t>Malachite</t>
  </si>
  <si>
    <t>Moss Agate</t>
  </si>
  <si>
    <t>Obsidian</t>
  </si>
  <si>
    <t>Rhodochrosite</t>
  </si>
  <si>
    <t>Tiger Eye</t>
  </si>
  <si>
    <t>Turquoise</t>
  </si>
  <si>
    <t>Description</t>
  </si>
  <si>
    <t>Opacity</t>
  </si>
  <si>
    <t>Reputed properties</t>
  </si>
  <si>
    <t>mottled deep blue</t>
  </si>
  <si>
    <t>opaque</t>
  </si>
  <si>
    <t>stripped brown, blue, white, reddish</t>
  </si>
  <si>
    <t>translucent</t>
  </si>
  <si>
    <t>induces sleep accompanied by visions</t>
  </si>
  <si>
    <t>pale blue</t>
  </si>
  <si>
    <t>circles of gray, white, brown, blue, and/or green</t>
  </si>
  <si>
    <t>pale blue with green and golden mottling</t>
  </si>
  <si>
    <t>rich purple</t>
  </si>
  <si>
    <t>clear bright green</t>
  </si>
  <si>
    <t>fiery yellow</t>
  </si>
  <si>
    <t>Electrum</t>
  </si>
  <si>
    <t>Gold</t>
  </si>
  <si>
    <t>Coronet</t>
  </si>
  <si>
    <t>Brooch, wheel</t>
  </si>
  <si>
    <t>Brooch, ring</t>
  </si>
  <si>
    <t>Brooch, cluster</t>
  </si>
  <si>
    <t>Bracelet, simple</t>
  </si>
  <si>
    <t>Bracelet, ornate</t>
  </si>
  <si>
    <t>Bracelet, grande</t>
  </si>
  <si>
    <t>Buckle, simple</t>
  </si>
  <si>
    <t>Buckle, ornate</t>
  </si>
  <si>
    <t>Buckle, grande</t>
  </si>
  <si>
    <t>Chaplet, simple</t>
  </si>
  <si>
    <t>Chaplet, ornate</t>
  </si>
  <si>
    <t>Chaplet, grande</t>
  </si>
  <si>
    <t>Clasp, simple</t>
  </si>
  <si>
    <t>Clasp, ornate</t>
  </si>
  <si>
    <t>Clasp, grande</t>
  </si>
  <si>
    <t>Bracer, simple</t>
  </si>
  <si>
    <t>Bracer, ornate</t>
  </si>
  <si>
    <t>Bracer, grande</t>
  </si>
  <si>
    <t>Crown, ornate</t>
  </si>
  <si>
    <t>Diadem, simple</t>
  </si>
  <si>
    <t>Diadem, ornate</t>
  </si>
  <si>
    <t>Earrings, simple</t>
  </si>
  <si>
    <t>Earrings, ornate</t>
  </si>
  <si>
    <t>Earrings, grande</t>
  </si>
  <si>
    <t>Coiffe, simple</t>
  </si>
  <si>
    <t>Coiffe, ornate</t>
  </si>
  <si>
    <t>Enseigne, simple</t>
  </si>
  <si>
    <t>Enseigne, ornate</t>
  </si>
  <si>
    <t>Fibula, simple</t>
  </si>
  <si>
    <t>Fibula, ornate</t>
  </si>
  <si>
    <t>Morse, simple</t>
  </si>
  <si>
    <t>Morse, ornate</t>
  </si>
  <si>
    <t>Necklace, simple</t>
  </si>
  <si>
    <t>Necklace, ornate</t>
  </si>
  <si>
    <t>Necklace, grande</t>
  </si>
  <si>
    <t>Pendant, simple</t>
  </si>
  <si>
    <t>Pendant, ornate</t>
  </si>
  <si>
    <t>Pendant, grande</t>
  </si>
  <si>
    <t>Ring, simple</t>
  </si>
  <si>
    <t>Ring, ornate</t>
  </si>
  <si>
    <t>Ring, grande</t>
  </si>
  <si>
    <t>Tiara, simple</t>
  </si>
  <si>
    <t>Tiara, ornate</t>
  </si>
  <si>
    <t>Tiara, grande</t>
  </si>
  <si>
    <t>Material</t>
  </si>
  <si>
    <t>Ring, cheap</t>
  </si>
  <si>
    <t>Pendant, cheap</t>
  </si>
  <si>
    <t>Bracelet, cheap</t>
  </si>
  <si>
    <t>wood, pine</t>
  </si>
  <si>
    <t>wood, oak</t>
  </si>
  <si>
    <t>wood, usher</t>
  </si>
  <si>
    <t>wood, walnut</t>
  </si>
  <si>
    <t>wood, mahagony</t>
  </si>
  <si>
    <t>copper</t>
  </si>
  <si>
    <t>silver</t>
  </si>
  <si>
    <t>electrum</t>
  </si>
  <si>
    <t>gold</t>
  </si>
  <si>
    <t>platinum</t>
  </si>
  <si>
    <t>steel</t>
  </si>
  <si>
    <t>iron</t>
  </si>
  <si>
    <t>wytchwood</t>
  </si>
  <si>
    <t>min.</t>
  </si>
  <si>
    <t>max.</t>
  </si>
  <si>
    <t>Value (g.p.)</t>
  </si>
  <si>
    <t>exquisite</t>
  </si>
  <si>
    <t>Number of pieces to calculate:</t>
  </si>
  <si>
    <t>Piece#</t>
  </si>
  <si>
    <t>Piece</t>
  </si>
  <si>
    <t>min. #</t>
  </si>
  <si>
    <t>Max. #</t>
  </si>
  <si>
    <t>No. of gems</t>
  </si>
  <si>
    <t>Crown, grande</t>
  </si>
  <si>
    <t>bronze</t>
  </si>
  <si>
    <t>http://www.ceu.hu/medstud/manual/SRM/gloss.htm#fibula</t>
  </si>
  <si>
    <t>clear red to deep crimson</t>
  </si>
  <si>
    <t>clear to medium blue</t>
  </si>
  <si>
    <t>translucent ruby with white "star" center</t>
  </si>
  <si>
    <t>translucent sapphire with white "star" center</t>
  </si>
  <si>
    <t>invulnerability versus undead</t>
  </si>
  <si>
    <t>gives good luck</t>
  </si>
  <si>
    <t>aids understanding of problems, kills spiders, boosts magical abilities</t>
  </si>
  <si>
    <t>protection from magic</t>
  </si>
  <si>
    <t>grants ability to communicate with plants and animals</t>
  </si>
  <si>
    <t>Base value</t>
  </si>
  <si>
    <t>% Modifier</t>
  </si>
  <si>
    <t>Modifier roll</t>
  </si>
  <si>
    <t>Size</t>
  </si>
  <si>
    <t>small</t>
  </si>
  <si>
    <t>average</t>
  </si>
  <si>
    <t>large</t>
  </si>
  <si>
    <t>very large</t>
  </si>
  <si>
    <t>huge</t>
  </si>
  <si>
    <t>Quality</t>
  </si>
  <si>
    <t>perfect</t>
  </si>
  <si>
    <t>fine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</si>
</sst>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0"/>
    </font>
    <font>
      <b/>
      <sz val="8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7"/>
      <color indexed="23"/>
      <name val="Tahoma"/>
      <family val="2"/>
    </font>
    <font>
      <b/>
      <sz val="7"/>
      <color indexed="9"/>
      <name val="Tahoma"/>
      <family val="2"/>
    </font>
    <font>
      <sz val="7"/>
      <color indexed="9"/>
      <name val="Tahoma"/>
      <family val="2"/>
    </font>
    <font>
      <b/>
      <sz val="7"/>
      <color indexed="23"/>
      <name val="Tahoma"/>
      <family val="2"/>
    </font>
    <font>
      <b/>
      <sz val="7"/>
      <color indexed="57"/>
      <name val="Tahoma"/>
      <family val="2"/>
    </font>
    <font>
      <sz val="7"/>
      <color indexed="57"/>
      <name val="Tahoma"/>
      <family val="2"/>
    </font>
    <font>
      <b/>
      <sz val="7"/>
      <color indexed="19"/>
      <name val="Tahoma"/>
      <family val="2"/>
    </font>
    <font>
      <u val="single"/>
      <sz val="8"/>
      <color indexed="12"/>
      <name val="Tahoma"/>
      <family val="2"/>
    </font>
    <font>
      <i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thin"/>
      <top style="double"/>
      <bottom style="thin">
        <color indexed="22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medium"/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10"/>
      </bottom>
    </border>
    <border>
      <left>
        <color indexed="63"/>
      </left>
      <right style="thin"/>
      <top style="thin">
        <color indexed="22"/>
      </top>
      <bottom style="medium">
        <color indexed="10"/>
      </bottom>
    </border>
    <border>
      <left style="thin"/>
      <right>
        <color indexed="63"/>
      </right>
      <top style="thin">
        <color indexed="22"/>
      </top>
      <bottom style="medium">
        <color indexed="10"/>
      </bottom>
    </border>
    <border>
      <left>
        <color indexed="63"/>
      </left>
      <right style="medium"/>
      <top style="thin">
        <color indexed="22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22"/>
      </bottom>
    </border>
    <border>
      <left>
        <color indexed="63"/>
      </left>
      <right style="thin"/>
      <top style="medium">
        <color indexed="10"/>
      </top>
      <bottom style="thin">
        <color indexed="22"/>
      </bottom>
    </border>
    <border>
      <left style="thin"/>
      <right>
        <color indexed="63"/>
      </right>
      <top style="medium">
        <color indexed="10"/>
      </top>
      <bottom style="thin">
        <color indexed="22"/>
      </bottom>
    </border>
    <border>
      <left>
        <color indexed="63"/>
      </left>
      <right style="medium"/>
      <top style="medium">
        <color indexed="10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9" fontId="5" fillId="0" borderId="0" xfId="21" applyFont="1" applyBorder="1" applyAlignment="1">
      <alignment horizontal="right" vertical="top"/>
    </xf>
    <xf numFmtId="9" fontId="4" fillId="0" borderId="0" xfId="2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9" fontId="5" fillId="0" borderId="8" xfId="21" applyFont="1" applyBorder="1" applyAlignment="1">
      <alignment horizontal="right" vertical="top"/>
    </xf>
    <xf numFmtId="9" fontId="4" fillId="0" borderId="9" xfId="21" applyFont="1" applyBorder="1" applyAlignment="1">
      <alignment horizontal="center" vertical="top"/>
    </xf>
    <xf numFmtId="0" fontId="4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9" fontId="5" fillId="0" borderId="9" xfId="21" applyFont="1" applyBorder="1" applyAlignment="1">
      <alignment horizontal="right" vertical="top"/>
    </xf>
    <xf numFmtId="9" fontId="5" fillId="0" borderId="11" xfId="2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9" fontId="5" fillId="0" borderId="13" xfId="21" applyFont="1" applyBorder="1" applyAlignment="1">
      <alignment horizontal="right" vertical="top"/>
    </xf>
    <xf numFmtId="9" fontId="4" fillId="0" borderId="14" xfId="21" applyFont="1" applyBorder="1" applyAlignment="1">
      <alignment horizontal="center" vertical="top"/>
    </xf>
    <xf numFmtId="0" fontId="4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9" fontId="5" fillId="0" borderId="14" xfId="21" applyFont="1" applyBorder="1" applyAlignment="1">
      <alignment horizontal="right" vertical="top"/>
    </xf>
    <xf numFmtId="9" fontId="5" fillId="0" borderId="16" xfId="21" applyFont="1" applyBorder="1" applyAlignment="1">
      <alignment horizontal="right" vertical="top"/>
    </xf>
    <xf numFmtId="9" fontId="6" fillId="2" borderId="14" xfId="21" applyFont="1" applyFill="1" applyBorder="1" applyAlignment="1">
      <alignment horizontal="right" vertical="top"/>
    </xf>
    <xf numFmtId="9" fontId="7" fillId="2" borderId="14" xfId="21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right" vertical="top"/>
    </xf>
    <xf numFmtId="0" fontId="7" fillId="2" borderId="14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7" xfId="0" applyFont="1" applyBorder="1" applyAlignment="1">
      <alignment vertical="top" wrapText="1"/>
    </xf>
    <xf numFmtId="9" fontId="6" fillId="2" borderId="16" xfId="21" applyFont="1" applyFill="1" applyBorder="1" applyAlignment="1">
      <alignment horizontal="right" vertical="top"/>
    </xf>
    <xf numFmtId="0" fontId="7" fillId="2" borderId="15" xfId="0" applyFont="1" applyFill="1" applyBorder="1" applyAlignment="1">
      <alignment horizontal="left" vertical="top"/>
    </xf>
    <xf numFmtId="9" fontId="6" fillId="2" borderId="13" xfId="21" applyFont="1" applyFill="1" applyBorder="1" applyAlignment="1">
      <alignment horizontal="righ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/>
    </xf>
    <xf numFmtId="9" fontId="6" fillId="2" borderId="18" xfId="21" applyFont="1" applyFill="1" applyBorder="1" applyAlignment="1">
      <alignment horizontal="right" vertical="top"/>
    </xf>
    <xf numFmtId="9" fontId="7" fillId="2" borderId="19" xfId="21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right" vertical="top"/>
    </xf>
    <xf numFmtId="0" fontId="7" fillId="2" borderId="19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left" vertical="top"/>
    </xf>
    <xf numFmtId="9" fontId="6" fillId="2" borderId="19" xfId="21" applyFont="1" applyFill="1" applyBorder="1" applyAlignment="1">
      <alignment horizontal="right" vertical="top"/>
    </xf>
    <xf numFmtId="9" fontId="6" fillId="2" borderId="21" xfId="21" applyFont="1" applyFill="1" applyBorder="1" applyAlignment="1">
      <alignment horizontal="right" vertical="top"/>
    </xf>
    <xf numFmtId="9" fontId="5" fillId="0" borderId="19" xfId="21" applyFont="1" applyBorder="1" applyAlignment="1">
      <alignment horizontal="right" vertical="top"/>
    </xf>
    <xf numFmtId="9" fontId="4" fillId="0" borderId="19" xfId="21" applyFont="1" applyBorder="1" applyAlignment="1">
      <alignment horizontal="center" vertical="top"/>
    </xf>
    <xf numFmtId="0" fontId="4" fillId="0" borderId="19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9" fontId="5" fillId="0" borderId="18" xfId="21" applyFont="1" applyBorder="1" applyAlignment="1">
      <alignment horizontal="right" vertical="top"/>
    </xf>
    <xf numFmtId="0" fontId="4" fillId="0" borderId="20" xfId="0" applyFont="1" applyBorder="1" applyAlignment="1">
      <alignment horizontal="left" vertical="top"/>
    </xf>
    <xf numFmtId="9" fontId="5" fillId="0" borderId="21" xfId="21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/>
    </xf>
    <xf numFmtId="9" fontId="5" fillId="0" borderId="23" xfId="21" applyFont="1" applyBorder="1" applyAlignment="1">
      <alignment horizontal="right" vertical="top"/>
    </xf>
    <xf numFmtId="9" fontId="4" fillId="0" borderId="24" xfId="21" applyFont="1" applyBorder="1" applyAlignment="1">
      <alignment horizontal="center" vertical="top"/>
    </xf>
    <xf numFmtId="0" fontId="4" fillId="0" borderId="24" xfId="0" applyFont="1" applyBorder="1" applyAlignment="1">
      <alignment horizontal="right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left" vertical="top"/>
    </xf>
    <xf numFmtId="9" fontId="6" fillId="2" borderId="24" xfId="21" applyFont="1" applyFill="1" applyBorder="1" applyAlignment="1">
      <alignment horizontal="right" vertical="top"/>
    </xf>
    <xf numFmtId="9" fontId="7" fillId="2" borderId="24" xfId="21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right" vertical="top"/>
    </xf>
    <xf numFmtId="0" fontId="7" fillId="2" borderId="24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left" vertical="top"/>
    </xf>
    <xf numFmtId="9" fontId="6" fillId="2" borderId="26" xfId="21" applyFont="1" applyFill="1" applyBorder="1" applyAlignment="1">
      <alignment horizontal="right" vertical="top"/>
    </xf>
    <xf numFmtId="0" fontId="7" fillId="2" borderId="27" xfId="0" applyFont="1" applyFill="1" applyBorder="1" applyAlignment="1">
      <alignment horizontal="left" vertical="top"/>
    </xf>
    <xf numFmtId="9" fontId="6" fillId="2" borderId="23" xfId="21" applyFont="1" applyFill="1" applyBorder="1" applyAlignment="1">
      <alignment horizontal="right" vertical="top"/>
    </xf>
    <xf numFmtId="0" fontId="7" fillId="2" borderId="24" xfId="0" applyFont="1" applyFill="1" applyBorder="1" applyAlignment="1">
      <alignment horizontal="left" vertical="top"/>
    </xf>
    <xf numFmtId="0" fontId="7" fillId="2" borderId="27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vertical="top"/>
    </xf>
    <xf numFmtId="9" fontId="5" fillId="0" borderId="28" xfId="21" applyFont="1" applyBorder="1" applyAlignment="1">
      <alignment horizontal="right" vertical="top"/>
    </xf>
    <xf numFmtId="9" fontId="4" fillId="0" borderId="29" xfId="21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top"/>
    </xf>
    <xf numFmtId="9" fontId="5" fillId="0" borderId="29" xfId="21" applyFont="1" applyBorder="1" applyAlignment="1">
      <alignment horizontal="right" vertical="top"/>
    </xf>
    <xf numFmtId="9" fontId="5" fillId="0" borderId="31" xfId="21" applyFont="1" applyBorder="1" applyAlignment="1">
      <alignment horizontal="right" vertical="top"/>
    </xf>
    <xf numFmtId="0" fontId="4" fillId="0" borderId="32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2" xfId="0" applyFont="1" applyBorder="1" applyAlignment="1">
      <alignment vertical="top" wrapText="1"/>
    </xf>
    <xf numFmtId="9" fontId="8" fillId="0" borderId="0" xfId="21" applyFont="1" applyBorder="1" applyAlignment="1">
      <alignment horizontal="center" vertical="top"/>
    </xf>
    <xf numFmtId="9" fontId="9" fillId="0" borderId="0" xfId="21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3" fontId="12" fillId="0" borderId="0" xfId="0" applyNumberFormat="1" applyFont="1" applyAlignment="1">
      <alignment horizontal="center" vertical="top" wrapText="1"/>
    </xf>
    <xf numFmtId="9" fontId="13" fillId="0" borderId="0" xfId="21" applyFont="1" applyAlignment="1">
      <alignment vertical="top" wrapText="1"/>
    </xf>
    <xf numFmtId="0" fontId="12" fillId="0" borderId="0" xfId="0" applyFont="1" applyAlignment="1">
      <alignment vertical="top" wrapText="1"/>
    </xf>
    <xf numFmtId="3" fontId="13" fillId="0" borderId="0" xfId="0" applyNumberFormat="1" applyFont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3" fillId="0" borderId="33" xfId="0" applyFont="1" applyBorder="1" applyAlignment="1">
      <alignment vertical="top" wrapText="1"/>
    </xf>
    <xf numFmtId="3" fontId="13" fillId="0" borderId="33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3" fontId="13" fillId="3" borderId="0" xfId="0" applyNumberFormat="1" applyFont="1" applyFill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9" fontId="12" fillId="0" borderId="0" xfId="21" applyFont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1" fontId="17" fillId="0" borderId="0" xfId="21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9" fontId="12" fillId="0" borderId="0" xfId="21" applyFont="1" applyBorder="1" applyAlignment="1">
      <alignment horizontal="right" vertical="top"/>
    </xf>
    <xf numFmtId="9" fontId="13" fillId="0" borderId="0" xfId="21" applyFont="1" applyBorder="1" applyAlignment="1">
      <alignment horizontal="center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horizontal="right" vertical="top"/>
    </xf>
    <xf numFmtId="0" fontId="13" fillId="0" borderId="2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1" fontId="16" fillId="0" borderId="0" xfId="21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1" fontId="17" fillId="0" borderId="0" xfId="2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9" fontId="12" fillId="0" borderId="8" xfId="21" applyFont="1" applyBorder="1" applyAlignment="1">
      <alignment horizontal="right" vertical="center"/>
    </xf>
    <xf numFmtId="9" fontId="13" fillId="0" borderId="9" xfId="21" applyFont="1" applyBorder="1" applyAlignment="1">
      <alignment horizontal="center" vertical="center"/>
    </xf>
    <xf numFmtId="9" fontId="12" fillId="0" borderId="9" xfId="21" applyFont="1" applyBorder="1" applyAlignment="1">
      <alignment horizontal="right" vertical="center"/>
    </xf>
    <xf numFmtId="9" fontId="12" fillId="0" borderId="11" xfId="2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9" fontId="12" fillId="0" borderId="13" xfId="21" applyFont="1" applyBorder="1" applyAlignment="1">
      <alignment horizontal="right" vertical="center"/>
    </xf>
    <xf numFmtId="9" fontId="13" fillId="0" borderId="14" xfId="21" applyFont="1" applyBorder="1" applyAlignment="1">
      <alignment horizontal="center" vertical="center"/>
    </xf>
    <xf numFmtId="9" fontId="12" fillId="0" borderId="14" xfId="21" applyFont="1" applyBorder="1" applyAlignment="1">
      <alignment horizontal="right" vertical="center"/>
    </xf>
    <xf numFmtId="9" fontId="12" fillId="0" borderId="16" xfId="21" applyFont="1" applyBorder="1" applyAlignment="1">
      <alignment horizontal="right" vertical="center"/>
    </xf>
    <xf numFmtId="9" fontId="18" fillId="2" borderId="14" xfId="21" applyFont="1" applyFill="1" applyBorder="1" applyAlignment="1">
      <alignment horizontal="right" vertical="center"/>
    </xf>
    <xf numFmtId="9" fontId="15" fillId="2" borderId="14" xfId="21" applyFont="1" applyFill="1" applyBorder="1" applyAlignment="1">
      <alignment horizontal="center" vertical="center"/>
    </xf>
    <xf numFmtId="9" fontId="18" fillId="2" borderId="16" xfId="21" applyFont="1" applyFill="1" applyBorder="1" applyAlignment="1">
      <alignment horizontal="right" vertical="center"/>
    </xf>
    <xf numFmtId="9" fontId="18" fillId="2" borderId="13" xfId="21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9" fontId="18" fillId="2" borderId="18" xfId="21" applyFont="1" applyFill="1" applyBorder="1" applyAlignment="1">
      <alignment horizontal="right" vertical="center"/>
    </xf>
    <xf numFmtId="9" fontId="15" fillId="2" borderId="19" xfId="21" applyFont="1" applyFill="1" applyBorder="1" applyAlignment="1">
      <alignment horizontal="center" vertical="center"/>
    </xf>
    <xf numFmtId="9" fontId="18" fillId="2" borderId="19" xfId="21" applyFont="1" applyFill="1" applyBorder="1" applyAlignment="1">
      <alignment horizontal="right" vertical="center"/>
    </xf>
    <xf numFmtId="9" fontId="18" fillId="2" borderId="21" xfId="21" applyFont="1" applyFill="1" applyBorder="1" applyAlignment="1">
      <alignment horizontal="right" vertical="center"/>
    </xf>
    <xf numFmtId="9" fontId="12" fillId="0" borderId="19" xfId="21" applyFont="1" applyBorder="1" applyAlignment="1">
      <alignment horizontal="right" vertical="center"/>
    </xf>
    <xf numFmtId="9" fontId="13" fillId="0" borderId="19" xfId="21" applyFont="1" applyBorder="1" applyAlignment="1">
      <alignment horizontal="center" vertical="center"/>
    </xf>
    <xf numFmtId="9" fontId="12" fillId="0" borderId="18" xfId="21" applyFont="1" applyBorder="1" applyAlignment="1">
      <alignment horizontal="right" vertical="center"/>
    </xf>
    <xf numFmtId="9" fontId="12" fillId="0" borderId="21" xfId="2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9" fontId="12" fillId="0" borderId="23" xfId="21" applyFont="1" applyBorder="1" applyAlignment="1">
      <alignment horizontal="right" vertical="center"/>
    </xf>
    <xf numFmtId="9" fontId="13" fillId="0" borderId="24" xfId="21" applyFont="1" applyBorder="1" applyAlignment="1">
      <alignment horizontal="center" vertical="center"/>
    </xf>
    <xf numFmtId="9" fontId="18" fillId="2" borderId="24" xfId="21" applyFont="1" applyFill="1" applyBorder="1" applyAlignment="1">
      <alignment horizontal="right" vertical="center"/>
    </xf>
    <xf numFmtId="9" fontId="15" fillId="2" borderId="24" xfId="21" applyFont="1" applyFill="1" applyBorder="1" applyAlignment="1">
      <alignment horizontal="center" vertical="center"/>
    </xf>
    <xf numFmtId="9" fontId="18" fillId="2" borderId="26" xfId="21" applyFont="1" applyFill="1" applyBorder="1" applyAlignment="1">
      <alignment horizontal="right" vertical="center"/>
    </xf>
    <xf numFmtId="9" fontId="18" fillId="2" borderId="23" xfId="21" applyFont="1" applyFill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9" fontId="12" fillId="0" borderId="34" xfId="21" applyFont="1" applyBorder="1" applyAlignment="1">
      <alignment horizontal="right" vertical="center"/>
    </xf>
    <xf numFmtId="9" fontId="13" fillId="0" borderId="35" xfId="21" applyFont="1" applyBorder="1" applyAlignment="1">
      <alignment horizontal="center" vertical="center"/>
    </xf>
    <xf numFmtId="9" fontId="12" fillId="0" borderId="35" xfId="21" applyFont="1" applyBorder="1" applyAlignment="1">
      <alignment horizontal="right" vertical="center"/>
    </xf>
    <xf numFmtId="9" fontId="12" fillId="0" borderId="36" xfId="21" applyFont="1" applyBorder="1" applyAlignment="1">
      <alignment horizontal="right" vertical="center"/>
    </xf>
    <xf numFmtId="0" fontId="16" fillId="4" borderId="37" xfId="0" applyFont="1" applyFill="1" applyBorder="1" applyAlignment="1">
      <alignment horizontal="center" vertical="top"/>
    </xf>
    <xf numFmtId="9" fontId="16" fillId="4" borderId="38" xfId="21" applyFont="1" applyFill="1" applyBorder="1" applyAlignment="1">
      <alignment horizontal="right" vertical="top"/>
    </xf>
    <xf numFmtId="9" fontId="16" fillId="4" borderId="38" xfId="21" applyFont="1" applyFill="1" applyBorder="1" applyAlignment="1">
      <alignment horizontal="center" vertical="top"/>
    </xf>
    <xf numFmtId="0" fontId="16" fillId="4" borderId="39" xfId="0" applyFont="1" applyFill="1" applyBorder="1" applyAlignment="1">
      <alignment vertical="top"/>
    </xf>
    <xf numFmtId="0" fontId="19" fillId="4" borderId="40" xfId="0" applyFont="1" applyFill="1" applyBorder="1" applyAlignment="1">
      <alignment horizontal="center" vertical="top"/>
    </xf>
    <xf numFmtId="9" fontId="19" fillId="4" borderId="41" xfId="21" applyFont="1" applyFill="1" applyBorder="1" applyAlignment="1">
      <alignment horizontal="right" vertical="top"/>
    </xf>
    <xf numFmtId="9" fontId="20" fillId="4" borderId="41" xfId="21" applyFont="1" applyFill="1" applyBorder="1" applyAlignment="1">
      <alignment horizontal="center" vertical="top"/>
    </xf>
    <xf numFmtId="0" fontId="19" fillId="4" borderId="42" xfId="0" applyFont="1" applyFill="1" applyBorder="1" applyAlignment="1">
      <alignment vertical="top"/>
    </xf>
    <xf numFmtId="0" fontId="13" fillId="0" borderId="43" xfId="0" applyFont="1" applyBorder="1" applyAlignment="1">
      <alignment horizontal="right" vertical="top"/>
    </xf>
    <xf numFmtId="0" fontId="13" fillId="0" borderId="44" xfId="0" applyFont="1" applyBorder="1" applyAlignment="1">
      <alignment vertical="top"/>
    </xf>
    <xf numFmtId="0" fontId="13" fillId="0" borderId="44" xfId="0" applyFont="1" applyBorder="1" applyAlignment="1">
      <alignment horizontal="right" vertical="top"/>
    </xf>
    <xf numFmtId="0" fontId="13" fillId="0" borderId="45" xfId="0" applyFont="1" applyBorder="1" applyAlignment="1">
      <alignment horizontal="left" vertical="top"/>
    </xf>
    <xf numFmtId="0" fontId="13" fillId="0" borderId="46" xfId="0" applyFont="1" applyBorder="1" applyAlignment="1">
      <alignment horizontal="right" vertical="top"/>
    </xf>
    <xf numFmtId="1" fontId="17" fillId="0" borderId="0" xfId="21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vertical="top"/>
      <protection hidden="1" locked="0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horizontal="center" vertical="top"/>
    </xf>
    <xf numFmtId="0" fontId="22" fillId="0" borderId="0" xfId="20" applyFont="1" applyAlignment="1" applyProtection="1">
      <alignment vertical="top"/>
      <protection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23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3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right"/>
    </xf>
    <xf numFmtId="3" fontId="14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0" fillId="4" borderId="41" xfId="0" applyFont="1" applyFill="1" applyBorder="1" applyAlignment="1">
      <alignment horizontal="left" vertical="top"/>
    </xf>
    <xf numFmtId="3" fontId="13" fillId="0" borderId="35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19" fillId="4" borderId="41" xfId="21" applyNumberFormat="1" applyFont="1" applyFill="1" applyBorder="1" applyAlignment="1">
      <alignment horizontal="right" vertical="top"/>
    </xf>
    <xf numFmtId="3" fontId="21" fillId="4" borderId="41" xfId="20" applyNumberFormat="1" applyFont="1" applyFill="1" applyBorder="1" applyAlignment="1" applyProtection="1">
      <alignment horizontal="right" vertical="top"/>
      <protection locked="0"/>
    </xf>
    <xf numFmtId="3" fontId="16" fillId="4" borderId="38" xfId="21" applyNumberFormat="1" applyFont="1" applyFill="1" applyBorder="1" applyAlignment="1">
      <alignment horizontal="right" vertical="top"/>
    </xf>
    <xf numFmtId="0" fontId="16" fillId="4" borderId="38" xfId="0" applyFont="1" applyFill="1" applyBorder="1" applyAlignment="1">
      <alignment horizontal="left" vertical="top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left" vertical="center"/>
    </xf>
    <xf numFmtId="3" fontId="13" fillId="0" borderId="17" xfId="0" applyNumberFormat="1" applyFont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left" vertical="center"/>
    </xf>
    <xf numFmtId="9" fontId="12" fillId="0" borderId="48" xfId="21" applyFont="1" applyBorder="1" applyAlignment="1">
      <alignment horizontal="center" vertical="top"/>
    </xf>
    <xf numFmtId="9" fontId="12" fillId="0" borderId="49" xfId="21" applyFont="1" applyBorder="1" applyAlignment="1">
      <alignment horizontal="center" vertical="top"/>
    </xf>
    <xf numFmtId="9" fontId="13" fillId="0" borderId="43" xfId="21" applyFont="1" applyBorder="1" applyAlignment="1">
      <alignment horizontal="center" vertical="top"/>
    </xf>
    <xf numFmtId="9" fontId="13" fillId="0" borderId="44" xfId="21" applyFont="1" applyBorder="1" applyAlignment="1">
      <alignment horizontal="center" vertical="top"/>
    </xf>
    <xf numFmtId="9" fontId="13" fillId="0" borderId="50" xfId="21" applyFont="1" applyBorder="1" applyAlignment="1">
      <alignment horizontal="center" vertical="top"/>
    </xf>
    <xf numFmtId="0" fontId="12" fillId="0" borderId="51" xfId="0" applyFont="1" applyBorder="1" applyAlignment="1">
      <alignment horizontal="center" vertical="center" textRotation="180" wrapText="1"/>
    </xf>
    <xf numFmtId="0" fontId="12" fillId="0" borderId="52" xfId="0" applyFont="1" applyBorder="1" applyAlignment="1">
      <alignment horizontal="center" vertical="center" textRotation="180" wrapText="1"/>
    </xf>
    <xf numFmtId="0" fontId="12" fillId="0" borderId="53" xfId="0" applyFont="1" applyBorder="1" applyAlignment="1">
      <alignment horizontal="center" vertical="center" textRotation="180" wrapText="1"/>
    </xf>
    <xf numFmtId="0" fontId="12" fillId="0" borderId="54" xfId="0" applyFont="1" applyBorder="1" applyAlignment="1">
      <alignment horizontal="center" vertical="center" textRotation="180"/>
    </xf>
    <xf numFmtId="0" fontId="12" fillId="0" borderId="52" xfId="0" applyFont="1" applyBorder="1" applyAlignment="1">
      <alignment horizontal="center" vertical="center" textRotation="180"/>
    </xf>
    <xf numFmtId="9" fontId="12" fillId="0" borderId="55" xfId="21" applyFont="1" applyBorder="1" applyAlignment="1">
      <alignment horizontal="center" vertical="top"/>
    </xf>
    <xf numFmtId="9" fontId="12" fillId="0" borderId="56" xfId="21" applyFont="1" applyBorder="1" applyAlignment="1">
      <alignment horizontal="center" vertical="top"/>
    </xf>
    <xf numFmtId="9" fontId="12" fillId="0" borderId="57" xfId="2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left" vertical="center"/>
    </xf>
    <xf numFmtId="3" fontId="13" fillId="0" borderId="22" xfId="0" applyNumberFormat="1" applyFont="1" applyBorder="1" applyAlignment="1">
      <alignment horizontal="left" vertical="center"/>
    </xf>
    <xf numFmtId="3" fontId="13" fillId="0" borderId="35" xfId="0" applyNumberFormat="1" applyFont="1" applyBorder="1" applyAlignment="1">
      <alignment horizontal="left" vertical="center"/>
    </xf>
    <xf numFmtId="3" fontId="13" fillId="0" borderId="58" xfId="0" applyNumberFormat="1" applyFont="1" applyBorder="1" applyAlignment="1">
      <alignment horizontal="left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9" fontId="5" fillId="0" borderId="55" xfId="21" applyFont="1" applyBorder="1" applyAlignment="1">
      <alignment horizontal="center" vertical="top"/>
    </xf>
    <xf numFmtId="9" fontId="5" fillId="0" borderId="48" xfId="21" applyFont="1" applyBorder="1" applyAlignment="1">
      <alignment horizontal="center" vertical="top"/>
    </xf>
    <xf numFmtId="9" fontId="5" fillId="0" borderId="56" xfId="2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9" fontId="5" fillId="0" borderId="49" xfId="21" applyFont="1" applyBorder="1" applyAlignment="1">
      <alignment horizontal="center" vertical="top"/>
    </xf>
    <xf numFmtId="9" fontId="4" fillId="0" borderId="43" xfId="21" applyFont="1" applyBorder="1" applyAlignment="1">
      <alignment horizontal="center" vertical="top"/>
    </xf>
    <xf numFmtId="9" fontId="4" fillId="0" borderId="44" xfId="21" applyFont="1" applyBorder="1" applyAlignment="1">
      <alignment horizontal="center" vertical="top"/>
    </xf>
    <xf numFmtId="9" fontId="4" fillId="0" borderId="50" xfId="21" applyFont="1" applyBorder="1" applyAlignment="1">
      <alignment horizontal="center" vertical="top"/>
    </xf>
    <xf numFmtId="9" fontId="5" fillId="0" borderId="57" xfId="21" applyFont="1" applyBorder="1" applyAlignment="1">
      <alignment horizontal="center" vertical="top"/>
    </xf>
    <xf numFmtId="0" fontId="5" fillId="0" borderId="52" xfId="0" applyFont="1" applyBorder="1" applyAlignment="1">
      <alignment horizontal="center" vertical="center" textRotation="180" wrapText="1"/>
    </xf>
    <xf numFmtId="0" fontId="5" fillId="0" borderId="53" xfId="0" applyFont="1" applyBorder="1" applyAlignment="1">
      <alignment horizontal="center" vertical="center" textRotation="180" wrapText="1"/>
    </xf>
    <xf numFmtId="0" fontId="5" fillId="0" borderId="54" xfId="0" applyFont="1" applyBorder="1" applyAlignment="1">
      <alignment horizontal="center" vertical="center" textRotation="180"/>
    </xf>
    <xf numFmtId="0" fontId="5" fillId="0" borderId="52" xfId="0" applyFont="1" applyBorder="1" applyAlignment="1">
      <alignment horizontal="center" vertical="center" textRotation="180"/>
    </xf>
    <xf numFmtId="0" fontId="5" fillId="0" borderId="59" xfId="0" applyFont="1" applyBorder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color rgb="FFFFFFFF"/>
      </font>
      <fill>
        <patternFill>
          <bgColor rgb="FF33996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FFFF"/>
      </font>
      <fill>
        <patternFill>
          <bgColor rgb="FF90713A"/>
        </patternFill>
      </fill>
      <border/>
    </dxf>
    <dxf>
      <font>
        <b/>
        <i val="0"/>
        <color rgb="FFFFFFFF"/>
      </font>
      <fill>
        <patternFill>
          <bgColor rgb="FF90713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55"/>
  <sheetViews>
    <sheetView workbookViewId="0" topLeftCell="A26">
      <selection activeCell="C52" sqref="C52"/>
    </sheetView>
  </sheetViews>
  <sheetFormatPr defaultColWidth="9.140625" defaultRowHeight="12.75"/>
  <cols>
    <col min="1" max="1" width="11.7109375" style="100" bestFit="1" customWidth="1"/>
    <col min="2" max="2" width="2.421875" style="101" bestFit="1" customWidth="1"/>
    <col min="3" max="3" width="16.7109375" style="101" customWidth="1"/>
    <col min="4" max="4" width="45.28125" style="101" customWidth="1"/>
    <col min="5" max="5" width="10.421875" style="101" bestFit="1" customWidth="1"/>
    <col min="6" max="6" width="44.421875" style="101" customWidth="1"/>
    <col min="7" max="7" width="8.7109375" style="105" customWidth="1"/>
    <col min="8" max="9" width="9.140625" style="101" customWidth="1"/>
    <col min="10" max="10" width="9.140625" style="103" customWidth="1"/>
    <col min="11" max="16384" width="9.140625" style="101" customWidth="1"/>
  </cols>
  <sheetData>
    <row r="1" ht="21.75">
      <c r="G1" s="102" t="s">
        <v>152</v>
      </c>
    </row>
    <row r="2" spans="1:12" s="104" customFormat="1" ht="10.5">
      <c r="A2" s="100"/>
      <c r="C2" s="104" t="s">
        <v>227</v>
      </c>
      <c r="D2" s="104" t="s">
        <v>246</v>
      </c>
      <c r="E2" s="104" t="s">
        <v>247</v>
      </c>
      <c r="F2" s="104" t="s">
        <v>248</v>
      </c>
      <c r="G2" s="102" t="s">
        <v>346</v>
      </c>
      <c r="I2" s="112" t="s">
        <v>348</v>
      </c>
      <c r="J2" s="113" t="s">
        <v>347</v>
      </c>
      <c r="K2" s="112" t="s">
        <v>349</v>
      </c>
      <c r="L2" s="112" t="s">
        <v>355</v>
      </c>
    </row>
    <row r="3" spans="1:12" ht="10.5">
      <c r="A3" s="100" t="s">
        <v>231</v>
      </c>
      <c r="B3" s="101">
        <v>1</v>
      </c>
      <c r="C3" s="101" t="s">
        <v>234</v>
      </c>
      <c r="D3" s="101" t="s">
        <v>249</v>
      </c>
      <c r="E3" s="101" t="s">
        <v>250</v>
      </c>
      <c r="F3" s="101" t="s">
        <v>31</v>
      </c>
      <c r="G3" s="105">
        <v>10</v>
      </c>
      <c r="I3" s="101">
        <v>1</v>
      </c>
      <c r="J3" s="103">
        <v>20</v>
      </c>
      <c r="K3" s="101" t="s">
        <v>354</v>
      </c>
      <c r="L3" s="101" t="s">
        <v>327</v>
      </c>
    </row>
    <row r="4" spans="2:12" ht="10.5">
      <c r="B4" s="101">
        <v>2</v>
      </c>
      <c r="C4" s="101" t="s">
        <v>235</v>
      </c>
      <c r="D4" s="101" t="s">
        <v>251</v>
      </c>
      <c r="E4" s="101" t="s">
        <v>252</v>
      </c>
      <c r="F4" s="101" t="s">
        <v>253</v>
      </c>
      <c r="G4" s="105">
        <v>10</v>
      </c>
      <c r="I4" s="101">
        <v>2</v>
      </c>
      <c r="J4" s="103">
        <v>10</v>
      </c>
      <c r="K4" s="101" t="s">
        <v>354</v>
      </c>
      <c r="L4" s="101" t="s">
        <v>356</v>
      </c>
    </row>
    <row r="5" spans="2:12" ht="10.5">
      <c r="B5" s="101">
        <v>3</v>
      </c>
      <c r="C5" s="101" t="s">
        <v>236</v>
      </c>
      <c r="D5" s="101" t="s">
        <v>254</v>
      </c>
      <c r="E5" s="101" t="s">
        <v>151</v>
      </c>
      <c r="F5" s="101" t="s">
        <v>33</v>
      </c>
      <c r="G5" s="105">
        <v>10</v>
      </c>
      <c r="I5" s="101">
        <v>3</v>
      </c>
      <c r="J5" s="103">
        <v>5</v>
      </c>
      <c r="K5" s="101" t="s">
        <v>353</v>
      </c>
      <c r="L5" s="101" t="s">
        <v>357</v>
      </c>
    </row>
    <row r="6" spans="2:12" ht="10.5">
      <c r="B6" s="101">
        <v>4</v>
      </c>
      <c r="C6" s="101" t="s">
        <v>237</v>
      </c>
      <c r="D6" s="101" t="s">
        <v>255</v>
      </c>
      <c r="E6" s="101" t="s">
        <v>252</v>
      </c>
      <c r="F6" s="101" t="s">
        <v>149</v>
      </c>
      <c r="G6" s="105">
        <v>10</v>
      </c>
      <c r="I6" s="101">
        <v>4</v>
      </c>
      <c r="J6" s="103">
        <v>2</v>
      </c>
      <c r="K6" s="101" t="s">
        <v>353</v>
      </c>
      <c r="L6" s="101" t="s">
        <v>357</v>
      </c>
    </row>
    <row r="7" spans="2:12" ht="10.5">
      <c r="B7" s="101">
        <v>5</v>
      </c>
      <c r="C7" s="101" t="s">
        <v>238</v>
      </c>
      <c r="D7" s="101" t="s">
        <v>150</v>
      </c>
      <c r="E7" s="101" t="s">
        <v>250</v>
      </c>
      <c r="F7" s="101" t="s">
        <v>157</v>
      </c>
      <c r="G7" s="105">
        <v>10</v>
      </c>
      <c r="I7" s="101">
        <v>5</v>
      </c>
      <c r="J7" s="103">
        <v>1</v>
      </c>
      <c r="K7" s="101" t="s">
        <v>353</v>
      </c>
      <c r="L7" s="101" t="s">
        <v>175</v>
      </c>
    </row>
    <row r="8" spans="2:12" ht="10.5">
      <c r="B8" s="101">
        <v>6</v>
      </c>
      <c r="C8" s="101" t="s">
        <v>239</v>
      </c>
      <c r="D8" s="101" t="s">
        <v>147</v>
      </c>
      <c r="E8" s="101" t="s">
        <v>250</v>
      </c>
      <c r="F8" s="101" t="s">
        <v>148</v>
      </c>
      <c r="G8" s="105">
        <v>10</v>
      </c>
      <c r="I8" s="101">
        <v>6</v>
      </c>
      <c r="J8" s="103">
        <v>5</v>
      </c>
      <c r="K8" s="101" t="s">
        <v>353</v>
      </c>
      <c r="L8" s="101" t="s">
        <v>357</v>
      </c>
    </row>
    <row r="9" spans="2:12" ht="10.5">
      <c r="B9" s="101">
        <v>7</v>
      </c>
      <c r="C9" s="101" t="s">
        <v>240</v>
      </c>
      <c r="D9" s="101" t="s">
        <v>203</v>
      </c>
      <c r="E9" s="101" t="s">
        <v>250</v>
      </c>
      <c r="F9" s="101" t="s">
        <v>204</v>
      </c>
      <c r="G9" s="105">
        <v>10</v>
      </c>
      <c r="I9" s="101">
        <v>7</v>
      </c>
      <c r="J9" s="103">
        <v>2</v>
      </c>
      <c r="K9" s="101" t="s">
        <v>352</v>
      </c>
      <c r="L9" s="101" t="s">
        <v>357</v>
      </c>
    </row>
    <row r="10" spans="2:12" ht="10.5">
      <c r="B10" s="101">
        <v>8</v>
      </c>
      <c r="C10" s="101" t="s">
        <v>241</v>
      </c>
      <c r="D10" s="101" t="s">
        <v>34</v>
      </c>
      <c r="E10" s="101" t="s">
        <v>252</v>
      </c>
      <c r="F10" s="101" t="s">
        <v>35</v>
      </c>
      <c r="G10" s="105">
        <v>10</v>
      </c>
      <c r="I10" s="101">
        <v>8</v>
      </c>
      <c r="J10" s="103">
        <v>2</v>
      </c>
      <c r="K10" s="101" t="s">
        <v>352</v>
      </c>
      <c r="L10" s="101" t="s">
        <v>357</v>
      </c>
    </row>
    <row r="11" spans="2:12" ht="10.5">
      <c r="B11" s="101">
        <v>9</v>
      </c>
      <c r="C11" s="101" t="s">
        <v>242</v>
      </c>
      <c r="D11" s="101" t="s">
        <v>205</v>
      </c>
      <c r="E11" s="101" t="s">
        <v>250</v>
      </c>
      <c r="F11" s="101" t="s">
        <v>36</v>
      </c>
      <c r="G11" s="105">
        <v>10</v>
      </c>
      <c r="I11" s="101">
        <v>9</v>
      </c>
      <c r="J11" s="103">
        <v>0.1</v>
      </c>
      <c r="K11" s="101" t="s">
        <v>351</v>
      </c>
      <c r="L11" s="101" t="s">
        <v>357</v>
      </c>
    </row>
    <row r="12" spans="2:12" ht="10.5">
      <c r="B12" s="101">
        <v>10</v>
      </c>
      <c r="C12" s="101" t="s">
        <v>243</v>
      </c>
      <c r="D12" s="101" t="s">
        <v>206</v>
      </c>
      <c r="E12" s="101" t="s">
        <v>250</v>
      </c>
      <c r="F12" s="101" t="s">
        <v>37</v>
      </c>
      <c r="G12" s="105">
        <v>10</v>
      </c>
      <c r="I12" s="101">
        <v>10</v>
      </c>
      <c r="J12" s="103">
        <v>0.2</v>
      </c>
      <c r="K12" s="101" t="s">
        <v>351</v>
      </c>
      <c r="L12" s="101" t="s">
        <v>357</v>
      </c>
    </row>
    <row r="13" spans="2:12" ht="10.5">
      <c r="B13" s="101">
        <v>11</v>
      </c>
      <c r="C13" s="101" t="s">
        <v>244</v>
      </c>
      <c r="D13" s="101" t="s">
        <v>207</v>
      </c>
      <c r="E13" s="101" t="s">
        <v>252</v>
      </c>
      <c r="F13" s="101" t="s">
        <v>38</v>
      </c>
      <c r="G13" s="105">
        <v>10</v>
      </c>
      <c r="I13" s="101">
        <v>11</v>
      </c>
      <c r="J13" s="103">
        <v>0.3</v>
      </c>
      <c r="K13" s="101" t="s">
        <v>352</v>
      </c>
      <c r="L13" s="101" t="s">
        <v>357</v>
      </c>
    </row>
    <row r="14" spans="2:12" ht="12" thickBot="1">
      <c r="B14" s="101">
        <v>12</v>
      </c>
      <c r="C14" s="101" t="s">
        <v>245</v>
      </c>
      <c r="D14" s="101" t="s">
        <v>208</v>
      </c>
      <c r="E14" s="101" t="s">
        <v>250</v>
      </c>
      <c r="F14" s="101" t="s">
        <v>32</v>
      </c>
      <c r="G14" s="105">
        <v>10</v>
      </c>
      <c r="I14" s="101">
        <v>12</v>
      </c>
      <c r="J14" s="103">
        <v>0.4</v>
      </c>
      <c r="K14" s="101" t="s">
        <v>352</v>
      </c>
      <c r="L14" s="101" t="s">
        <v>357</v>
      </c>
    </row>
    <row r="15" spans="1:12" ht="10.5">
      <c r="A15" s="106" t="s">
        <v>153</v>
      </c>
      <c r="B15" s="107">
        <v>13</v>
      </c>
      <c r="C15" s="107" t="s">
        <v>154</v>
      </c>
      <c r="D15" s="107" t="s">
        <v>155</v>
      </c>
      <c r="E15" s="107" t="s">
        <v>250</v>
      </c>
      <c r="F15" s="107" t="s">
        <v>156</v>
      </c>
      <c r="G15" s="108">
        <v>50</v>
      </c>
      <c r="I15" s="101">
        <v>13</v>
      </c>
      <c r="J15" s="103">
        <v>0.5</v>
      </c>
      <c r="K15" s="101" t="s">
        <v>352</v>
      </c>
      <c r="L15" s="101" t="s">
        <v>357</v>
      </c>
    </row>
    <row r="16" spans="2:12" ht="10.5">
      <c r="B16" s="101">
        <v>14</v>
      </c>
      <c r="C16" s="101" t="s">
        <v>158</v>
      </c>
      <c r="D16" s="101" t="s">
        <v>159</v>
      </c>
      <c r="E16" s="101" t="s">
        <v>250</v>
      </c>
      <c r="F16" s="101" t="s">
        <v>168</v>
      </c>
      <c r="G16" s="105">
        <v>50</v>
      </c>
      <c r="I16" s="101">
        <v>14</v>
      </c>
      <c r="J16" s="103">
        <v>0.6</v>
      </c>
      <c r="K16" s="101" t="s">
        <v>352</v>
      </c>
      <c r="L16" s="101" t="s">
        <v>175</v>
      </c>
    </row>
    <row r="17" spans="2:12" ht="10.5">
      <c r="B17" s="101">
        <v>15</v>
      </c>
      <c r="C17" s="101" t="s">
        <v>160</v>
      </c>
      <c r="D17" s="101" t="s">
        <v>161</v>
      </c>
      <c r="E17" s="101" t="s">
        <v>250</v>
      </c>
      <c r="F17" s="101" t="s">
        <v>162</v>
      </c>
      <c r="G17" s="105">
        <v>50</v>
      </c>
      <c r="I17" s="101">
        <v>15</v>
      </c>
      <c r="J17" s="103">
        <v>1</v>
      </c>
      <c r="K17" s="101" t="s">
        <v>351</v>
      </c>
      <c r="L17" s="101" t="s">
        <v>351</v>
      </c>
    </row>
    <row r="18" spans="2:12" ht="10.5">
      <c r="B18" s="101">
        <v>16</v>
      </c>
      <c r="C18" s="101" t="s">
        <v>163</v>
      </c>
      <c r="D18" s="101" t="s">
        <v>164</v>
      </c>
      <c r="E18" s="101" t="s">
        <v>151</v>
      </c>
      <c r="F18" s="101" t="s">
        <v>39</v>
      </c>
      <c r="G18" s="105">
        <v>50</v>
      </c>
      <c r="I18" s="101">
        <v>16</v>
      </c>
      <c r="J18" s="103">
        <v>2</v>
      </c>
      <c r="K18" s="101" t="s">
        <v>351</v>
      </c>
      <c r="L18" s="101" t="s">
        <v>351</v>
      </c>
    </row>
    <row r="19" spans="2:12" ht="10.5">
      <c r="B19" s="101">
        <v>17</v>
      </c>
      <c r="C19" s="101" t="s">
        <v>165</v>
      </c>
      <c r="D19" s="101" t="s">
        <v>166</v>
      </c>
      <c r="E19" s="101" t="s">
        <v>250</v>
      </c>
      <c r="F19" s="101" t="s">
        <v>167</v>
      </c>
      <c r="G19" s="105">
        <v>50</v>
      </c>
      <c r="I19" s="101">
        <v>17</v>
      </c>
      <c r="J19" s="103">
        <v>3</v>
      </c>
      <c r="K19" s="101" t="s">
        <v>351</v>
      </c>
      <c r="L19" s="101" t="s">
        <v>351</v>
      </c>
    </row>
    <row r="20" spans="2:12" ht="10.5">
      <c r="B20" s="101">
        <v>18</v>
      </c>
      <c r="C20" s="101" t="s">
        <v>169</v>
      </c>
      <c r="D20" s="101" t="s">
        <v>170</v>
      </c>
      <c r="E20" s="101" t="s">
        <v>252</v>
      </c>
      <c r="F20" s="101" t="s">
        <v>171</v>
      </c>
      <c r="G20" s="105">
        <v>50</v>
      </c>
      <c r="I20" s="101">
        <v>18</v>
      </c>
      <c r="J20" s="103">
        <v>4</v>
      </c>
      <c r="K20" s="101" t="s">
        <v>351</v>
      </c>
      <c r="L20" s="101" t="s">
        <v>357</v>
      </c>
    </row>
    <row r="21" spans="2:12" ht="10.5">
      <c r="B21" s="101">
        <v>19</v>
      </c>
      <c r="C21" s="101" t="s">
        <v>172</v>
      </c>
      <c r="D21" s="101" t="s">
        <v>173</v>
      </c>
      <c r="E21" s="101" t="s">
        <v>250</v>
      </c>
      <c r="F21" s="101" t="s">
        <v>174</v>
      </c>
      <c r="G21" s="105">
        <v>50</v>
      </c>
      <c r="I21" s="101">
        <v>19</v>
      </c>
      <c r="J21" s="103">
        <v>5</v>
      </c>
      <c r="K21" s="101" t="s">
        <v>351</v>
      </c>
      <c r="L21" s="101" t="s">
        <v>357</v>
      </c>
    </row>
    <row r="22" spans="2:12" ht="10.5">
      <c r="B22" s="101">
        <v>20</v>
      </c>
      <c r="C22" s="101" t="s">
        <v>21</v>
      </c>
      <c r="D22" s="101" t="s">
        <v>22</v>
      </c>
      <c r="E22" s="101" t="s">
        <v>151</v>
      </c>
      <c r="F22" s="101" t="s">
        <v>40</v>
      </c>
      <c r="G22" s="105">
        <v>50</v>
      </c>
      <c r="I22" s="101">
        <v>20</v>
      </c>
      <c r="J22" s="103">
        <v>-0.1</v>
      </c>
      <c r="K22" s="101" t="s">
        <v>350</v>
      </c>
      <c r="L22" s="101" t="s">
        <v>176</v>
      </c>
    </row>
    <row r="23" spans="2:12" ht="10.5">
      <c r="B23" s="101">
        <v>21</v>
      </c>
      <c r="C23" s="101" t="s">
        <v>23</v>
      </c>
      <c r="D23" s="101" t="s">
        <v>123</v>
      </c>
      <c r="E23" s="101" t="s">
        <v>250</v>
      </c>
      <c r="F23" s="101" t="s">
        <v>41</v>
      </c>
      <c r="G23" s="105">
        <v>50</v>
      </c>
      <c r="I23" s="101">
        <v>21</v>
      </c>
      <c r="J23" s="103">
        <v>-0.2</v>
      </c>
      <c r="K23" s="101" t="s">
        <v>350</v>
      </c>
      <c r="L23" s="101" t="s">
        <v>176</v>
      </c>
    </row>
    <row r="24" spans="2:12" ht="10.5">
      <c r="B24" s="101">
        <v>22</v>
      </c>
      <c r="C24" s="101" t="s">
        <v>124</v>
      </c>
      <c r="D24" s="101" t="s">
        <v>125</v>
      </c>
      <c r="E24" s="101" t="s">
        <v>151</v>
      </c>
      <c r="F24" s="101" t="s">
        <v>42</v>
      </c>
      <c r="G24" s="105">
        <v>50</v>
      </c>
      <c r="I24" s="101">
        <v>22</v>
      </c>
      <c r="J24" s="103">
        <v>-0.3</v>
      </c>
      <c r="K24" s="101" t="s">
        <v>350</v>
      </c>
      <c r="L24" s="101" t="s">
        <v>176</v>
      </c>
    </row>
    <row r="25" spans="2:12" ht="10.5">
      <c r="B25" s="101">
        <v>23</v>
      </c>
      <c r="C25" s="101" t="s">
        <v>126</v>
      </c>
      <c r="D25" s="101" t="s">
        <v>127</v>
      </c>
      <c r="E25" s="101" t="s">
        <v>151</v>
      </c>
      <c r="F25" s="101" t="s">
        <v>43</v>
      </c>
      <c r="G25" s="105">
        <v>50</v>
      </c>
      <c r="I25" s="101">
        <v>23</v>
      </c>
      <c r="J25" s="103">
        <v>-0.4</v>
      </c>
      <c r="K25" s="101" t="s">
        <v>350</v>
      </c>
      <c r="L25" s="101" t="s">
        <v>177</v>
      </c>
    </row>
    <row r="26" spans="2:12" ht="12" thickBot="1">
      <c r="B26" s="101">
        <v>24</v>
      </c>
      <c r="C26" s="101" t="s">
        <v>128</v>
      </c>
      <c r="D26" s="101" t="s">
        <v>129</v>
      </c>
      <c r="E26" s="101" t="s">
        <v>151</v>
      </c>
      <c r="F26" s="101" t="s">
        <v>44</v>
      </c>
      <c r="G26" s="105">
        <v>50</v>
      </c>
      <c r="I26" s="101">
        <v>24</v>
      </c>
      <c r="J26" s="103">
        <v>-0.5</v>
      </c>
      <c r="K26" s="101" t="s">
        <v>350</v>
      </c>
      <c r="L26" s="101" t="s">
        <v>177</v>
      </c>
    </row>
    <row r="27" spans="1:12" ht="10.5">
      <c r="A27" s="106" t="s">
        <v>232</v>
      </c>
      <c r="B27" s="107">
        <v>25</v>
      </c>
      <c r="C27" s="107" t="s">
        <v>130</v>
      </c>
      <c r="D27" s="107" t="s">
        <v>131</v>
      </c>
      <c r="E27" s="107" t="s">
        <v>151</v>
      </c>
      <c r="F27" s="107" t="s">
        <v>132</v>
      </c>
      <c r="G27" s="108">
        <v>100</v>
      </c>
      <c r="I27" s="101">
        <v>25</v>
      </c>
      <c r="J27" s="103">
        <v>-0.6</v>
      </c>
      <c r="K27" s="101" t="s">
        <v>30</v>
      </c>
      <c r="L27" s="101" t="s">
        <v>177</v>
      </c>
    </row>
    <row r="28" spans="2:12" ht="10.5">
      <c r="B28" s="101">
        <v>26</v>
      </c>
      <c r="C28" s="101" t="s">
        <v>133</v>
      </c>
      <c r="D28" s="101" t="s">
        <v>134</v>
      </c>
      <c r="E28" s="101" t="s">
        <v>151</v>
      </c>
      <c r="F28" s="101" t="s">
        <v>135</v>
      </c>
      <c r="G28" s="105">
        <v>100</v>
      </c>
      <c r="I28" s="101">
        <v>26</v>
      </c>
      <c r="J28" s="103">
        <v>-0.7</v>
      </c>
      <c r="K28" s="101" t="s">
        <v>30</v>
      </c>
      <c r="L28" s="101" t="s">
        <v>178</v>
      </c>
    </row>
    <row r="29" spans="2:12" ht="10.5">
      <c r="B29" s="101">
        <v>27</v>
      </c>
      <c r="C29" s="101" t="s">
        <v>136</v>
      </c>
      <c r="D29" s="101" t="s">
        <v>137</v>
      </c>
      <c r="E29" s="101" t="s">
        <v>151</v>
      </c>
      <c r="F29" s="101" t="s">
        <v>138</v>
      </c>
      <c r="G29" s="105">
        <v>100</v>
      </c>
      <c r="I29" s="101">
        <v>27</v>
      </c>
      <c r="J29" s="103">
        <v>-0.8</v>
      </c>
      <c r="K29" s="101" t="s">
        <v>30</v>
      </c>
      <c r="L29" s="101" t="s">
        <v>178</v>
      </c>
    </row>
    <row r="30" spans="2:7" ht="10.5">
      <c r="B30" s="101">
        <v>28</v>
      </c>
      <c r="C30" s="101" t="s">
        <v>139</v>
      </c>
      <c r="D30" s="101" t="s">
        <v>140</v>
      </c>
      <c r="E30" s="101" t="s">
        <v>151</v>
      </c>
      <c r="F30" s="101" t="s">
        <v>45</v>
      </c>
      <c r="G30" s="105">
        <v>500</v>
      </c>
    </row>
    <row r="31" spans="1:7" ht="10.5">
      <c r="A31" s="109"/>
      <c r="B31" s="110">
        <v>29</v>
      </c>
      <c r="C31" s="110" t="s">
        <v>181</v>
      </c>
      <c r="D31" s="110" t="s">
        <v>182</v>
      </c>
      <c r="E31" s="110" t="s">
        <v>151</v>
      </c>
      <c r="F31" s="110" t="s">
        <v>345</v>
      </c>
      <c r="G31" s="111">
        <v>250</v>
      </c>
    </row>
    <row r="32" spans="2:7" ht="10.5">
      <c r="B32" s="101">
        <v>30</v>
      </c>
      <c r="C32" s="101" t="s">
        <v>141</v>
      </c>
      <c r="D32" s="101" t="s">
        <v>142</v>
      </c>
      <c r="E32" s="101" t="s">
        <v>151</v>
      </c>
      <c r="F32" s="101" t="s">
        <v>143</v>
      </c>
      <c r="G32" s="105">
        <v>100</v>
      </c>
    </row>
    <row r="33" spans="2:7" ht="9" customHeight="1">
      <c r="B33" s="101">
        <v>31</v>
      </c>
      <c r="C33" s="101" t="s">
        <v>144</v>
      </c>
      <c r="D33" s="101" t="s">
        <v>145</v>
      </c>
      <c r="E33" s="101" t="s">
        <v>250</v>
      </c>
      <c r="F33" s="101" t="s">
        <v>146</v>
      </c>
      <c r="G33" s="105">
        <v>100</v>
      </c>
    </row>
    <row r="34" spans="2:7" ht="10.5">
      <c r="B34" s="101">
        <v>32</v>
      </c>
      <c r="C34" s="101" t="s">
        <v>209</v>
      </c>
      <c r="D34" s="101" t="s">
        <v>210</v>
      </c>
      <c r="E34" s="101" t="s">
        <v>151</v>
      </c>
      <c r="F34" s="101" t="s">
        <v>46</v>
      </c>
      <c r="G34" s="105">
        <v>250</v>
      </c>
    </row>
    <row r="35" spans="2:7" ht="10.5">
      <c r="B35" s="101">
        <v>33</v>
      </c>
      <c r="C35" s="101" t="s">
        <v>211</v>
      </c>
      <c r="D35" s="101" t="s">
        <v>212</v>
      </c>
      <c r="E35" s="101" t="s">
        <v>252</v>
      </c>
      <c r="F35" s="101" t="s">
        <v>56</v>
      </c>
      <c r="G35" s="105">
        <v>100</v>
      </c>
    </row>
    <row r="36" spans="2:7" ht="10.5">
      <c r="B36" s="101">
        <v>34</v>
      </c>
      <c r="C36" s="101" t="s">
        <v>213</v>
      </c>
      <c r="D36" s="101" t="s">
        <v>214</v>
      </c>
      <c r="E36" s="101" t="s">
        <v>250</v>
      </c>
      <c r="F36" s="101" t="s">
        <v>215</v>
      </c>
      <c r="G36" s="105">
        <v>100</v>
      </c>
    </row>
    <row r="37" spans="2:7" ht="10.5">
      <c r="B37" s="101">
        <v>35</v>
      </c>
      <c r="C37" s="101" t="s">
        <v>216</v>
      </c>
      <c r="D37" s="101" t="s">
        <v>217</v>
      </c>
      <c r="E37" s="101" t="s">
        <v>250</v>
      </c>
      <c r="F37" s="101" t="s">
        <v>47</v>
      </c>
      <c r="G37" s="105">
        <v>250</v>
      </c>
    </row>
    <row r="38" spans="2:7" ht="10.5">
      <c r="B38" s="101">
        <v>36</v>
      </c>
      <c r="C38" s="101" t="s">
        <v>218</v>
      </c>
      <c r="D38" s="101" t="s">
        <v>219</v>
      </c>
      <c r="E38" s="101" t="s">
        <v>151</v>
      </c>
      <c r="F38" s="101" t="s">
        <v>220</v>
      </c>
      <c r="G38" s="105">
        <v>500</v>
      </c>
    </row>
    <row r="39" spans="2:7" ht="10.5">
      <c r="B39" s="101">
        <v>37</v>
      </c>
      <c r="C39" s="101" t="s">
        <v>221</v>
      </c>
      <c r="D39" s="101" t="s">
        <v>25</v>
      </c>
      <c r="E39" s="101" t="s">
        <v>151</v>
      </c>
      <c r="F39" s="101" t="s">
        <v>48</v>
      </c>
      <c r="G39" s="105">
        <v>250</v>
      </c>
    </row>
    <row r="40" spans="2:7" ht="10.5">
      <c r="B40" s="101">
        <v>38</v>
      </c>
      <c r="C40" s="101" t="s">
        <v>26</v>
      </c>
      <c r="D40" s="101" t="s">
        <v>27</v>
      </c>
      <c r="E40" s="101" t="s">
        <v>151</v>
      </c>
      <c r="F40" s="101" t="s">
        <v>28</v>
      </c>
      <c r="G40" s="105">
        <v>500</v>
      </c>
    </row>
    <row r="41" spans="2:7" ht="12" thickBot="1">
      <c r="B41" s="101">
        <v>39</v>
      </c>
      <c r="C41" s="101" t="s">
        <v>179</v>
      </c>
      <c r="D41" s="101" t="s">
        <v>180</v>
      </c>
      <c r="E41" s="101" t="s">
        <v>151</v>
      </c>
      <c r="F41" s="101" t="s">
        <v>52</v>
      </c>
      <c r="G41" s="105">
        <v>100</v>
      </c>
    </row>
    <row r="42" spans="1:7" ht="10.5">
      <c r="A42" s="106" t="s">
        <v>233</v>
      </c>
      <c r="B42" s="107">
        <v>40</v>
      </c>
      <c r="C42" s="107" t="s">
        <v>183</v>
      </c>
      <c r="D42" s="107" t="s">
        <v>194</v>
      </c>
      <c r="E42" s="107" t="s">
        <v>252</v>
      </c>
      <c r="F42" s="107" t="s">
        <v>53</v>
      </c>
      <c r="G42" s="108">
        <v>1000</v>
      </c>
    </row>
    <row r="43" spans="2:7" ht="10.5">
      <c r="B43" s="101">
        <v>41</v>
      </c>
      <c r="C43" s="101" t="s">
        <v>184</v>
      </c>
      <c r="D43" s="101" t="s">
        <v>195</v>
      </c>
      <c r="E43" s="101" t="s">
        <v>252</v>
      </c>
      <c r="F43" s="101" t="s">
        <v>55</v>
      </c>
      <c r="G43" s="105">
        <v>5000</v>
      </c>
    </row>
    <row r="44" spans="2:7" ht="10.5">
      <c r="B44" s="101">
        <v>42</v>
      </c>
      <c r="C44" s="101" t="s">
        <v>185</v>
      </c>
      <c r="D44" s="101" t="s">
        <v>196</v>
      </c>
      <c r="E44" s="101" t="s">
        <v>151</v>
      </c>
      <c r="F44" s="101" t="s">
        <v>341</v>
      </c>
      <c r="G44" s="105">
        <v>5000</v>
      </c>
    </row>
    <row r="45" spans="2:7" ht="10.5">
      <c r="B45" s="101">
        <v>43</v>
      </c>
      <c r="C45" s="101" t="s">
        <v>186</v>
      </c>
      <c r="D45" s="101" t="s">
        <v>197</v>
      </c>
      <c r="E45" s="101" t="s">
        <v>151</v>
      </c>
      <c r="F45" s="101" t="s">
        <v>58</v>
      </c>
      <c r="G45" s="105">
        <v>1000</v>
      </c>
    </row>
    <row r="46" spans="2:7" ht="10.5">
      <c r="B46" s="101">
        <v>44</v>
      </c>
      <c r="C46" s="101" t="s">
        <v>187</v>
      </c>
      <c r="D46" s="101" t="s">
        <v>198</v>
      </c>
      <c r="E46" s="101" t="s">
        <v>252</v>
      </c>
      <c r="F46" s="101" t="s">
        <v>49</v>
      </c>
      <c r="G46" s="105">
        <v>1000</v>
      </c>
    </row>
    <row r="47" spans="2:7" ht="10.5">
      <c r="B47" s="101">
        <v>45</v>
      </c>
      <c r="C47" s="101" t="s">
        <v>188</v>
      </c>
      <c r="D47" s="101" t="s">
        <v>199</v>
      </c>
      <c r="E47" s="101" t="s">
        <v>151</v>
      </c>
      <c r="F47" s="101" t="s">
        <v>50</v>
      </c>
      <c r="G47" s="105">
        <v>5000</v>
      </c>
    </row>
    <row r="48" spans="2:7" ht="10.5">
      <c r="B48" s="101">
        <v>46</v>
      </c>
      <c r="C48" s="101" t="s">
        <v>189</v>
      </c>
      <c r="D48" s="101" t="s">
        <v>256</v>
      </c>
      <c r="E48" s="101" t="s">
        <v>252</v>
      </c>
      <c r="F48" s="101" t="s">
        <v>59</v>
      </c>
      <c r="G48" s="105">
        <v>1000</v>
      </c>
    </row>
    <row r="49" spans="2:7" ht="10.5">
      <c r="B49" s="101">
        <v>47</v>
      </c>
      <c r="C49" s="101" t="s">
        <v>69</v>
      </c>
      <c r="D49" s="101" t="s">
        <v>257</v>
      </c>
      <c r="E49" s="101" t="s">
        <v>151</v>
      </c>
      <c r="F49" s="101" t="s">
        <v>51</v>
      </c>
      <c r="G49" s="105">
        <v>1000</v>
      </c>
    </row>
    <row r="50" spans="2:7" ht="10.5">
      <c r="B50" s="101">
        <v>48</v>
      </c>
      <c r="C50" s="101" t="s">
        <v>70</v>
      </c>
      <c r="D50" s="101" t="s">
        <v>258</v>
      </c>
      <c r="E50" s="101" t="s">
        <v>151</v>
      </c>
      <c r="F50" s="101" t="s">
        <v>54</v>
      </c>
      <c r="G50" s="105">
        <v>5000</v>
      </c>
    </row>
    <row r="51" spans="2:7" ht="10.5">
      <c r="B51" s="101">
        <v>49</v>
      </c>
      <c r="C51" s="101" t="s">
        <v>71</v>
      </c>
      <c r="D51" s="101" t="s">
        <v>259</v>
      </c>
      <c r="E51" s="101" t="s">
        <v>151</v>
      </c>
      <c r="F51" s="101" t="s">
        <v>57</v>
      </c>
      <c r="G51" s="105">
        <v>1000</v>
      </c>
    </row>
    <row r="52" spans="2:7" ht="10.5">
      <c r="B52" s="101">
        <v>50</v>
      </c>
      <c r="C52" s="101" t="s">
        <v>190</v>
      </c>
      <c r="D52" s="101" t="s">
        <v>337</v>
      </c>
      <c r="E52" s="101" t="s">
        <v>151</v>
      </c>
      <c r="F52" s="101" t="s">
        <v>342</v>
      </c>
      <c r="G52" s="105">
        <v>5000</v>
      </c>
    </row>
    <row r="53" spans="2:7" ht="10.5">
      <c r="B53" s="101">
        <v>51</v>
      </c>
      <c r="C53" s="101" t="s">
        <v>191</v>
      </c>
      <c r="D53" s="101" t="s">
        <v>338</v>
      </c>
      <c r="E53" s="101" t="s">
        <v>151</v>
      </c>
      <c r="F53" s="101" t="s">
        <v>343</v>
      </c>
      <c r="G53" s="105">
        <v>1000</v>
      </c>
    </row>
    <row r="54" spans="2:7" ht="10.5">
      <c r="B54" s="101">
        <v>52</v>
      </c>
      <c r="C54" s="101" t="s">
        <v>192</v>
      </c>
      <c r="D54" s="101" t="s">
        <v>339</v>
      </c>
      <c r="E54" s="101" t="s">
        <v>252</v>
      </c>
      <c r="F54" s="101" t="s">
        <v>60</v>
      </c>
      <c r="G54" s="105">
        <v>1000</v>
      </c>
    </row>
    <row r="55" spans="2:7" ht="10.5">
      <c r="B55" s="101">
        <v>53</v>
      </c>
      <c r="C55" s="101" t="s">
        <v>193</v>
      </c>
      <c r="D55" s="101" t="s">
        <v>340</v>
      </c>
      <c r="E55" s="101" t="s">
        <v>252</v>
      </c>
      <c r="F55" s="101" t="s">
        <v>344</v>
      </c>
      <c r="G55" s="105">
        <v>1000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T203"/>
  <sheetViews>
    <sheetView showGridLines="0" showRowColHeaders="0" zoomScale="150" zoomScaleNormal="150" workbookViewId="0" topLeftCell="A1">
      <pane ySplit="3" topLeftCell="BM4" activePane="bottomLeft" state="frozen"/>
      <selection pane="topLeft" activeCell="A1" sqref="A1"/>
      <selection pane="bottomLeft" activeCell="E1" sqref="E1"/>
    </sheetView>
  </sheetViews>
  <sheetFormatPr defaultColWidth="2.140625" defaultRowHeight="12.75"/>
  <cols>
    <col min="1" max="2" width="5.00390625" style="114" hidden="1" customWidth="1"/>
    <col min="3" max="3" width="5.00390625" style="115" hidden="1" customWidth="1"/>
    <col min="4" max="4" width="6.7109375" style="115" hidden="1" customWidth="1"/>
    <col min="5" max="5" width="4.140625" style="120" customWidth="1"/>
    <col min="6" max="14" width="2.140625" style="115" customWidth="1"/>
    <col min="15" max="31" width="3.00390625" style="115" customWidth="1"/>
    <col min="32" max="44" width="2.140625" style="115" customWidth="1"/>
    <col min="45" max="46" width="2.140625" style="115" hidden="1" customWidth="1"/>
    <col min="47" max="16384" width="2.140625" style="115" customWidth="1"/>
  </cols>
  <sheetData>
    <row r="1" spans="19:25" ht="10.5">
      <c r="S1" s="122"/>
      <c r="T1" s="122"/>
      <c r="U1" s="122"/>
      <c r="V1" s="122"/>
      <c r="W1" s="122"/>
      <c r="X1" s="122"/>
      <c r="Y1" s="122"/>
    </row>
    <row r="2" spans="1:32" ht="10.5">
      <c r="A2" s="129" t="s">
        <v>228</v>
      </c>
      <c r="B2" s="129" t="s">
        <v>227</v>
      </c>
      <c r="C2" s="120" t="s">
        <v>229</v>
      </c>
      <c r="D2" s="120" t="s">
        <v>230</v>
      </c>
      <c r="E2" s="216" t="s">
        <v>226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7">
        <f>A3</f>
        <v>0</v>
      </c>
      <c r="Q2" s="217"/>
      <c r="S2" s="125"/>
      <c r="T2" s="125"/>
      <c r="U2" s="125"/>
      <c r="W2" s="123"/>
      <c r="X2" s="124"/>
      <c r="Y2" s="218" t="s">
        <v>24</v>
      </c>
      <c r="Z2" s="218"/>
      <c r="AA2" s="218"/>
      <c r="AB2" s="218"/>
      <c r="AC2" s="218"/>
      <c r="AD2" s="218"/>
      <c r="AE2" s="218"/>
      <c r="AF2" s="126" t="str">
        <f>CONCATENATE(SUM(AS4:AT203)," g.p.")</f>
        <v>0 g.p.</v>
      </c>
    </row>
    <row r="3" spans="1:40" ht="10.5">
      <c r="A3" s="130">
        <f>'Treasurer Creator'!AC30</f>
        <v>0</v>
      </c>
      <c r="B3" s="130"/>
      <c r="C3" s="119"/>
      <c r="D3" s="119"/>
      <c r="F3" s="116" t="s">
        <v>227</v>
      </c>
      <c r="G3" s="116"/>
      <c r="H3" s="116"/>
      <c r="I3" s="116"/>
      <c r="J3" s="116"/>
      <c r="K3" s="116"/>
      <c r="L3" s="116"/>
      <c r="M3" s="116"/>
      <c r="N3" s="116"/>
      <c r="O3" s="214" t="s">
        <v>246</v>
      </c>
      <c r="P3" s="214"/>
      <c r="Q3" s="214"/>
      <c r="R3" s="214"/>
      <c r="S3" s="214"/>
      <c r="T3" s="214"/>
      <c r="U3" s="214"/>
      <c r="V3" s="214"/>
      <c r="W3" s="214"/>
      <c r="X3" s="214" t="s">
        <v>248</v>
      </c>
      <c r="Y3" s="214"/>
      <c r="Z3" s="214"/>
      <c r="AA3" s="214"/>
      <c r="AB3" s="214"/>
      <c r="AC3" s="214"/>
      <c r="AD3" s="214"/>
      <c r="AE3" s="214"/>
      <c r="AF3" s="214" t="s">
        <v>29</v>
      </c>
      <c r="AG3" s="214"/>
      <c r="AH3" s="214"/>
      <c r="AI3" s="214"/>
      <c r="AJ3" s="121" t="s">
        <v>349</v>
      </c>
      <c r="AN3" s="116" t="s">
        <v>355</v>
      </c>
    </row>
    <row r="4" spans="1:46" s="99" customFormat="1" ht="21" customHeight="1">
      <c r="A4" s="127">
        <f>'Treasurer Creator'!AC30</f>
        <v>0</v>
      </c>
      <c r="B4" s="127">
        <f aca="true" ca="1" t="shared" si="0" ref="B4:B35">RANDBETWEEN(1,53)</f>
        <v>43</v>
      </c>
      <c r="C4" s="128">
        <f aca="true" ca="1" t="shared" si="1" ref="C4:C35">RANDBETWEEN(1,27)</f>
        <v>24</v>
      </c>
      <c r="D4" s="128">
        <f>SUM(LOOKUP(B4,'Gem types'!$B$3:$B$55,'Gem types'!$G$3:$G$55),PRODUCT(LOOKUP(B4,'Gem types'!$B$3:$B$55,'Gem types'!$G$3:$G$55),LOOKUP(C4,'Gem types'!$I$3:$I$29,'Gem types'!$J$3:$J$29)))</f>
        <v>500</v>
      </c>
      <c r="E4" s="98">
        <f>IF(A4&gt;0,1,"")</f>
      </c>
      <c r="F4" s="213">
        <f>IF(E4="","",LOOKUP(B4,'Gem types'!B3:C55,'Gem types'!C3:C55))</f>
      </c>
      <c r="G4" s="213"/>
      <c r="H4" s="213"/>
      <c r="I4" s="213"/>
      <c r="J4" s="213"/>
      <c r="K4" s="213"/>
      <c r="L4" s="213"/>
      <c r="M4" s="213"/>
      <c r="N4" s="213"/>
      <c r="O4" s="213">
        <f>IF(E4="","",LOOKUP(B4,'Gem types'!$B$3:$C$55,'Gem types'!$D$3:$D$55))</f>
      </c>
      <c r="P4" s="213"/>
      <c r="Q4" s="213"/>
      <c r="R4" s="213"/>
      <c r="S4" s="213"/>
      <c r="T4" s="213"/>
      <c r="U4" s="213"/>
      <c r="V4" s="213"/>
      <c r="W4" s="213"/>
      <c r="X4" s="213">
        <f>IF(E4="","",LOOKUP(B4,'Gem types'!$B$3:$C$55,'Gem types'!$F$3:$F$55))</f>
      </c>
      <c r="Y4" s="213"/>
      <c r="Z4" s="213"/>
      <c r="AA4" s="213"/>
      <c r="AB4" s="213"/>
      <c r="AC4" s="213"/>
      <c r="AD4" s="213"/>
      <c r="AE4" s="213"/>
      <c r="AF4" s="215">
        <f>IF(F4="","",CONCATENATE(AS4," g.p."))</f>
      </c>
      <c r="AG4" s="213"/>
      <c r="AH4" s="213"/>
      <c r="AI4" s="213"/>
      <c r="AJ4" s="215">
        <f>IF(F4="","",LOOKUP(C4,'Gem types'!$I$3:$I$29,'Gem types'!$K$3:$K$29))</f>
      </c>
      <c r="AK4" s="215"/>
      <c r="AL4" s="215"/>
      <c r="AM4" s="215"/>
      <c r="AN4" s="215">
        <f>IF(F4="","",LOOKUP(C4,'Gem types'!$I$3:$I$29,'Gem types'!$L$3:$L$29))</f>
      </c>
      <c r="AO4" s="215"/>
      <c r="AP4" s="215"/>
      <c r="AQ4" s="215"/>
      <c r="AS4" s="219">
        <f>IF(E4="","",ROUNDUP(D4,0))</f>
      </c>
      <c r="AT4" s="219"/>
    </row>
    <row r="5" spans="1:46" s="99" customFormat="1" ht="21" customHeight="1">
      <c r="A5" s="127">
        <f>'Treasurer Creator'!AC30</f>
        <v>0</v>
      </c>
      <c r="B5" s="127">
        <f ca="1" t="shared" si="0"/>
        <v>19</v>
      </c>
      <c r="C5" s="128">
        <f ca="1" t="shared" si="1"/>
        <v>3</v>
      </c>
      <c r="D5" s="128">
        <f>SUM(LOOKUP(B5,'Gem types'!$B$3:$B$55,'Gem types'!$G$3:$G$55),PRODUCT(LOOKUP(B5,'Gem types'!$B$3:$B$55,'Gem types'!$G$3:$G$55),LOOKUP(C5,'Gem types'!$I$3:$I$29,'Gem types'!$J$3:$J$29)))</f>
        <v>300</v>
      </c>
      <c r="E5" s="98">
        <f>IF(A5&gt;E4,SUM(E4+1),"")</f>
      </c>
      <c r="F5" s="213">
        <f>IF(E5="","",LOOKUP(B5,'Gem types'!B3:C55,'Gem types'!C3:C55))</f>
      </c>
      <c r="G5" s="213"/>
      <c r="H5" s="213"/>
      <c r="I5" s="213"/>
      <c r="J5" s="213"/>
      <c r="K5" s="213"/>
      <c r="L5" s="213"/>
      <c r="M5" s="213"/>
      <c r="N5" s="213"/>
      <c r="O5" s="213">
        <f>IF(E5="","",LOOKUP(B5,'Gem types'!$B$3:$C$55,'Gem types'!$D$3:$D$55))</f>
      </c>
      <c r="P5" s="213"/>
      <c r="Q5" s="213"/>
      <c r="R5" s="213"/>
      <c r="S5" s="213"/>
      <c r="T5" s="213"/>
      <c r="U5" s="213"/>
      <c r="V5" s="213"/>
      <c r="W5" s="213"/>
      <c r="X5" s="213">
        <f>IF(E5="","",LOOKUP(B5,'Gem types'!$B$3:$C$55,'Gem types'!$F$3:$F$55))</f>
      </c>
      <c r="Y5" s="213"/>
      <c r="Z5" s="213"/>
      <c r="AA5" s="213"/>
      <c r="AB5" s="213"/>
      <c r="AC5" s="213"/>
      <c r="AD5" s="213"/>
      <c r="AE5" s="213"/>
      <c r="AF5" s="215">
        <f aca="true" t="shared" si="2" ref="AF5:AF68">IF(F5="","",CONCATENATE(AS5," g.p."))</f>
      </c>
      <c r="AG5" s="213"/>
      <c r="AH5" s="213"/>
      <c r="AI5" s="213"/>
      <c r="AJ5" s="215">
        <f>IF(F5="","",LOOKUP(C5,'Gem types'!$I$3:$I$29,'Gem types'!$K$3:$K$29))</f>
      </c>
      <c r="AK5" s="215"/>
      <c r="AL5" s="215"/>
      <c r="AM5" s="215"/>
      <c r="AN5" s="215">
        <f>IF(F5="","",LOOKUP(C5,'Gem types'!$I$3:$I$29,'Gem types'!$L$3:$L$29))</f>
      </c>
      <c r="AO5" s="215"/>
      <c r="AP5" s="215"/>
      <c r="AQ5" s="215"/>
      <c r="AS5" s="219">
        <f aca="true" t="shared" si="3" ref="AS5:AS35">IF(E5="","",ROUNDUP(D5,0))</f>
      </c>
      <c r="AT5" s="219"/>
    </row>
    <row r="6" spans="1:46" s="99" customFormat="1" ht="21" customHeight="1">
      <c r="A6" s="127">
        <f>'Treasurer Creator'!AC30</f>
        <v>0</v>
      </c>
      <c r="B6" s="127">
        <f ca="1" t="shared" si="0"/>
        <v>41</v>
      </c>
      <c r="C6" s="128">
        <f ca="1" t="shared" si="1"/>
        <v>14</v>
      </c>
      <c r="D6" s="128">
        <f>SUM(LOOKUP(B6,'Gem types'!$B$3:$B$55,'Gem types'!$G$3:$G$55),PRODUCT(LOOKUP(B6,'Gem types'!$B$3:$B$55,'Gem types'!$G$3:$G$55),LOOKUP(C6,'Gem types'!$I$3:$I$29,'Gem types'!$J$3:$J$29)))</f>
        <v>8000</v>
      </c>
      <c r="E6" s="98">
        <f aca="true" t="shared" si="4" ref="E6:E36">IF(A6&gt;E5,SUM(E5+1),"")</f>
      </c>
      <c r="F6" s="213">
        <f>IF(E6="","",LOOKUP(B6,'Gem types'!B3:C55,'Gem types'!C3:C55))</f>
      </c>
      <c r="G6" s="213"/>
      <c r="H6" s="213"/>
      <c r="I6" s="213"/>
      <c r="J6" s="213"/>
      <c r="K6" s="213"/>
      <c r="L6" s="213"/>
      <c r="M6" s="213"/>
      <c r="N6" s="213"/>
      <c r="O6" s="213">
        <f>IF(E6="","",LOOKUP(B6,'Gem types'!$B$3:$C$55,'Gem types'!$D$3:$D$55))</f>
      </c>
      <c r="P6" s="213"/>
      <c r="Q6" s="213"/>
      <c r="R6" s="213"/>
      <c r="S6" s="213"/>
      <c r="T6" s="213"/>
      <c r="U6" s="213"/>
      <c r="V6" s="213"/>
      <c r="W6" s="213"/>
      <c r="X6" s="213">
        <f>IF(E6="","",LOOKUP(B6,'Gem types'!$B$3:$C$55,'Gem types'!$F$3:$F$55))</f>
      </c>
      <c r="Y6" s="213"/>
      <c r="Z6" s="213"/>
      <c r="AA6" s="213"/>
      <c r="AB6" s="213"/>
      <c r="AC6" s="213"/>
      <c r="AD6" s="213"/>
      <c r="AE6" s="213"/>
      <c r="AF6" s="215">
        <f t="shared" si="2"/>
      </c>
      <c r="AG6" s="213"/>
      <c r="AH6" s="213"/>
      <c r="AI6" s="213"/>
      <c r="AJ6" s="215">
        <f>IF(F6="","",LOOKUP(C6,'Gem types'!$I$3:$I$29,'Gem types'!$K$3:$K$29))</f>
      </c>
      <c r="AK6" s="215"/>
      <c r="AL6" s="215"/>
      <c r="AM6" s="215"/>
      <c r="AN6" s="215">
        <f>IF(F6="","",LOOKUP(C6,'Gem types'!$I$3:$I$29,'Gem types'!$L$3:$L$29))</f>
      </c>
      <c r="AO6" s="215"/>
      <c r="AP6" s="215"/>
      <c r="AQ6" s="215"/>
      <c r="AS6" s="219">
        <f t="shared" si="3"/>
      </c>
      <c r="AT6" s="219"/>
    </row>
    <row r="7" spans="1:46" s="99" customFormat="1" ht="21" customHeight="1">
      <c r="A7" s="127">
        <f>'Treasurer Creator'!AC30</f>
        <v>0</v>
      </c>
      <c r="B7" s="127">
        <f ca="1" t="shared" si="0"/>
        <v>37</v>
      </c>
      <c r="C7" s="128">
        <f ca="1" t="shared" si="1"/>
        <v>9</v>
      </c>
      <c r="D7" s="128">
        <f>SUM(LOOKUP(B7,'Gem types'!$B$3:$B$55,'Gem types'!$G$3:$G$55),PRODUCT(LOOKUP(B7,'Gem types'!$B$3:$B$55,'Gem types'!$G$3:$G$55),LOOKUP(C7,'Gem types'!$I$3:$I$29,'Gem types'!$J$3:$J$29)))</f>
        <v>275</v>
      </c>
      <c r="E7" s="98">
        <f t="shared" si="4"/>
      </c>
      <c r="F7" s="213">
        <f>IF(E7="","",LOOKUP(B7,'Gem types'!B3:C55,'Gem types'!C3:C55))</f>
      </c>
      <c r="G7" s="213"/>
      <c r="H7" s="213"/>
      <c r="I7" s="213"/>
      <c r="J7" s="213"/>
      <c r="K7" s="213"/>
      <c r="L7" s="213"/>
      <c r="M7" s="213"/>
      <c r="N7" s="213"/>
      <c r="O7" s="213">
        <f>IF(E7="","",LOOKUP(B7,'Gem types'!$B$3:$C$55,'Gem types'!$D$3:$D$55))</f>
      </c>
      <c r="P7" s="213"/>
      <c r="Q7" s="213"/>
      <c r="R7" s="213"/>
      <c r="S7" s="213"/>
      <c r="T7" s="213"/>
      <c r="U7" s="213"/>
      <c r="V7" s="213"/>
      <c r="W7" s="213"/>
      <c r="X7" s="213">
        <f>IF(E7="","",LOOKUP(B7,'Gem types'!$B$3:$C$55,'Gem types'!$F$3:$F$55))</f>
      </c>
      <c r="Y7" s="213"/>
      <c r="Z7" s="213"/>
      <c r="AA7" s="213"/>
      <c r="AB7" s="213"/>
      <c r="AC7" s="213"/>
      <c r="AD7" s="213"/>
      <c r="AE7" s="213"/>
      <c r="AF7" s="215">
        <f t="shared" si="2"/>
      </c>
      <c r="AG7" s="213"/>
      <c r="AH7" s="213"/>
      <c r="AI7" s="213"/>
      <c r="AJ7" s="215">
        <f>IF(F7="","",LOOKUP(C7,'Gem types'!$I$3:$I$29,'Gem types'!$K$3:$K$29))</f>
      </c>
      <c r="AK7" s="215"/>
      <c r="AL7" s="215"/>
      <c r="AM7" s="215"/>
      <c r="AN7" s="215">
        <f>IF(F7="","",LOOKUP(C7,'Gem types'!$I$3:$I$29,'Gem types'!$L$3:$L$29))</f>
      </c>
      <c r="AO7" s="215"/>
      <c r="AP7" s="215"/>
      <c r="AQ7" s="215"/>
      <c r="AS7" s="219">
        <f t="shared" si="3"/>
      </c>
      <c r="AT7" s="219"/>
    </row>
    <row r="8" spans="1:46" s="99" customFormat="1" ht="21" customHeight="1">
      <c r="A8" s="127">
        <f>'Treasurer Creator'!AC30</f>
        <v>0</v>
      </c>
      <c r="B8" s="127">
        <f ca="1" t="shared" si="0"/>
        <v>36</v>
      </c>
      <c r="C8" s="128">
        <f ca="1" t="shared" si="1"/>
        <v>26</v>
      </c>
      <c r="D8" s="128">
        <f>SUM(LOOKUP(B8,'Gem types'!$B$3:$B$55,'Gem types'!$G$3:$G$55),PRODUCT(LOOKUP(B8,'Gem types'!$B$3:$B$55,'Gem types'!$G$3:$G$55),LOOKUP(C8,'Gem types'!$I$3:$I$29,'Gem types'!$J$3:$J$29)))</f>
        <v>150</v>
      </c>
      <c r="E8" s="98">
        <f t="shared" si="4"/>
      </c>
      <c r="F8" s="213">
        <f>IF(E8="","",LOOKUP(B8,'Gem types'!B3:C55,'Gem types'!C3:C55))</f>
      </c>
      <c r="G8" s="213"/>
      <c r="H8" s="213"/>
      <c r="I8" s="213"/>
      <c r="J8" s="213"/>
      <c r="K8" s="213"/>
      <c r="L8" s="213"/>
      <c r="M8" s="213"/>
      <c r="N8" s="213"/>
      <c r="O8" s="213">
        <f>IF(E8="","",LOOKUP(B8,'Gem types'!$B$3:$C$55,'Gem types'!$D$3:$D$55))</f>
      </c>
      <c r="P8" s="213"/>
      <c r="Q8" s="213"/>
      <c r="R8" s="213"/>
      <c r="S8" s="213"/>
      <c r="T8" s="213"/>
      <c r="U8" s="213"/>
      <c r="V8" s="213"/>
      <c r="W8" s="213"/>
      <c r="X8" s="213">
        <f>IF(E8="","",LOOKUP(B8,'Gem types'!$B$3:$C$55,'Gem types'!$F$3:$F$55))</f>
      </c>
      <c r="Y8" s="213"/>
      <c r="Z8" s="213"/>
      <c r="AA8" s="213"/>
      <c r="AB8" s="213"/>
      <c r="AC8" s="213"/>
      <c r="AD8" s="213"/>
      <c r="AE8" s="213"/>
      <c r="AF8" s="215">
        <f t="shared" si="2"/>
      </c>
      <c r="AG8" s="213"/>
      <c r="AH8" s="213"/>
      <c r="AI8" s="213"/>
      <c r="AJ8" s="215">
        <f>IF(F8="","",LOOKUP(C8,'Gem types'!$I$3:$I$29,'Gem types'!$K$3:$K$29))</f>
      </c>
      <c r="AK8" s="215"/>
      <c r="AL8" s="215"/>
      <c r="AM8" s="215"/>
      <c r="AN8" s="215">
        <f>IF(F8="","",LOOKUP(C8,'Gem types'!$I$3:$I$29,'Gem types'!$L$3:$L$29))</f>
      </c>
      <c r="AO8" s="215"/>
      <c r="AP8" s="215"/>
      <c r="AQ8" s="215"/>
      <c r="AS8" s="219">
        <f t="shared" si="3"/>
      </c>
      <c r="AT8" s="219"/>
    </row>
    <row r="9" spans="1:46" s="99" customFormat="1" ht="21" customHeight="1">
      <c r="A9" s="127">
        <f>'Treasurer Creator'!AC30</f>
        <v>0</v>
      </c>
      <c r="B9" s="127">
        <f ca="1" t="shared" si="0"/>
        <v>45</v>
      </c>
      <c r="C9" s="128">
        <f ca="1" t="shared" si="1"/>
        <v>9</v>
      </c>
      <c r="D9" s="128">
        <f>SUM(LOOKUP(B9,'Gem types'!$B$3:$B$55,'Gem types'!$G$3:$G$55),PRODUCT(LOOKUP(B9,'Gem types'!$B$3:$B$55,'Gem types'!$G$3:$G$55),LOOKUP(C9,'Gem types'!$I$3:$I$29,'Gem types'!$J$3:$J$29)))</f>
        <v>5500</v>
      </c>
      <c r="E9" s="98">
        <f t="shared" si="4"/>
      </c>
      <c r="F9" s="213">
        <f>IF(E9="","",LOOKUP(B9,'Gem types'!B3:C55,'Gem types'!C3:C55))</f>
      </c>
      <c r="G9" s="213"/>
      <c r="H9" s="213"/>
      <c r="I9" s="213"/>
      <c r="J9" s="213"/>
      <c r="K9" s="213"/>
      <c r="L9" s="213"/>
      <c r="M9" s="213"/>
      <c r="N9" s="213"/>
      <c r="O9" s="213">
        <f>IF(E9="","",LOOKUP(B9,'Gem types'!$B$3:$C$55,'Gem types'!$D$3:$D$55))</f>
      </c>
      <c r="P9" s="213"/>
      <c r="Q9" s="213"/>
      <c r="R9" s="213"/>
      <c r="S9" s="213"/>
      <c r="T9" s="213"/>
      <c r="U9" s="213"/>
      <c r="V9" s="213"/>
      <c r="W9" s="213"/>
      <c r="X9" s="213">
        <f>IF(E9="","",LOOKUP(B9,'Gem types'!$B$3:$C$55,'Gem types'!$F$3:$F$55))</f>
      </c>
      <c r="Y9" s="213"/>
      <c r="Z9" s="213"/>
      <c r="AA9" s="213"/>
      <c r="AB9" s="213"/>
      <c r="AC9" s="213"/>
      <c r="AD9" s="213"/>
      <c r="AE9" s="213"/>
      <c r="AF9" s="215">
        <f t="shared" si="2"/>
      </c>
      <c r="AG9" s="213"/>
      <c r="AH9" s="213"/>
      <c r="AI9" s="213"/>
      <c r="AJ9" s="215">
        <f>IF(F9="","",LOOKUP(C9,'Gem types'!$I$3:$I$29,'Gem types'!$K$3:$K$29))</f>
      </c>
      <c r="AK9" s="215"/>
      <c r="AL9" s="215"/>
      <c r="AM9" s="215"/>
      <c r="AN9" s="215">
        <f>IF(F9="","",LOOKUP(C9,'Gem types'!$I$3:$I$29,'Gem types'!$L$3:$L$29))</f>
      </c>
      <c r="AO9" s="215"/>
      <c r="AP9" s="215"/>
      <c r="AQ9" s="215"/>
      <c r="AS9" s="219">
        <f t="shared" si="3"/>
      </c>
      <c r="AT9" s="219"/>
    </row>
    <row r="10" spans="1:46" s="99" customFormat="1" ht="21" customHeight="1">
      <c r="A10" s="127">
        <f>'Treasurer Creator'!AC30</f>
        <v>0</v>
      </c>
      <c r="B10" s="127">
        <f ca="1" t="shared" si="0"/>
        <v>40</v>
      </c>
      <c r="C10" s="128">
        <f ca="1" t="shared" si="1"/>
        <v>24</v>
      </c>
      <c r="D10" s="128">
        <f>SUM(LOOKUP(B10,'Gem types'!$B$3:$B$55,'Gem types'!$G$3:$G$55),PRODUCT(LOOKUP(B10,'Gem types'!$B$3:$B$55,'Gem types'!$G$3:$G$55),LOOKUP(C10,'Gem types'!$I$3:$I$29,'Gem types'!$J$3:$J$29)))</f>
        <v>500</v>
      </c>
      <c r="E10" s="98">
        <f t="shared" si="4"/>
      </c>
      <c r="F10" s="213">
        <f>IF(E10="","",LOOKUP(B10,'Gem types'!B3:C55,'Gem types'!C3:C55))</f>
      </c>
      <c r="G10" s="213"/>
      <c r="H10" s="213"/>
      <c r="I10" s="213"/>
      <c r="J10" s="213"/>
      <c r="K10" s="213"/>
      <c r="L10" s="213"/>
      <c r="M10" s="213"/>
      <c r="N10" s="213"/>
      <c r="O10" s="213">
        <f>IF(E10="","",LOOKUP(B10,'Gem types'!$B$3:$C$55,'Gem types'!$D$3:$D$55))</f>
      </c>
      <c r="P10" s="213"/>
      <c r="Q10" s="213"/>
      <c r="R10" s="213"/>
      <c r="S10" s="213"/>
      <c r="T10" s="213"/>
      <c r="U10" s="213"/>
      <c r="V10" s="213"/>
      <c r="W10" s="213"/>
      <c r="X10" s="213">
        <f>IF(E10="","",LOOKUP(B10,'Gem types'!$B$3:$C$55,'Gem types'!$F$3:$F$55))</f>
      </c>
      <c r="Y10" s="213"/>
      <c r="Z10" s="213"/>
      <c r="AA10" s="213"/>
      <c r="AB10" s="213"/>
      <c r="AC10" s="213"/>
      <c r="AD10" s="213"/>
      <c r="AE10" s="213"/>
      <c r="AF10" s="215">
        <f t="shared" si="2"/>
      </c>
      <c r="AG10" s="213"/>
      <c r="AH10" s="213"/>
      <c r="AI10" s="213"/>
      <c r="AJ10" s="215">
        <f>IF(F10="","",LOOKUP(C10,'Gem types'!$I$3:$I$29,'Gem types'!$K$3:$K$29))</f>
      </c>
      <c r="AK10" s="215"/>
      <c r="AL10" s="215"/>
      <c r="AM10" s="215"/>
      <c r="AN10" s="215">
        <f>IF(F10="","",LOOKUP(C10,'Gem types'!$I$3:$I$29,'Gem types'!$L$3:$L$29))</f>
      </c>
      <c r="AO10" s="215"/>
      <c r="AP10" s="215"/>
      <c r="AQ10" s="215"/>
      <c r="AS10" s="219">
        <f t="shared" si="3"/>
      </c>
      <c r="AT10" s="219"/>
    </row>
    <row r="11" spans="1:46" s="99" customFormat="1" ht="21" customHeight="1">
      <c r="A11" s="127">
        <f>'Treasurer Creator'!AC30</f>
        <v>0</v>
      </c>
      <c r="B11" s="127">
        <f ca="1" t="shared" si="0"/>
        <v>3</v>
      </c>
      <c r="C11" s="128">
        <f ca="1" t="shared" si="1"/>
        <v>3</v>
      </c>
      <c r="D11" s="128">
        <f>SUM(LOOKUP(B11,'Gem types'!$B$3:$B$55,'Gem types'!$G$3:$G$55),PRODUCT(LOOKUP(B11,'Gem types'!$B$3:$B$55,'Gem types'!$G$3:$G$55),LOOKUP(C11,'Gem types'!$I$3:$I$29,'Gem types'!$J$3:$J$29)))</f>
        <v>60</v>
      </c>
      <c r="E11" s="98">
        <f t="shared" si="4"/>
      </c>
      <c r="F11" s="213">
        <f>IF(E11="","",LOOKUP(B11,'Gem types'!B3:C55,'Gem types'!C3:C55))</f>
      </c>
      <c r="G11" s="213"/>
      <c r="H11" s="213"/>
      <c r="I11" s="213"/>
      <c r="J11" s="213"/>
      <c r="K11" s="213"/>
      <c r="L11" s="213"/>
      <c r="M11" s="213"/>
      <c r="N11" s="213"/>
      <c r="O11" s="213">
        <f>IF(E11="","",LOOKUP(B11,'Gem types'!$B$3:$C$55,'Gem types'!$D$3:$D$55))</f>
      </c>
      <c r="P11" s="213"/>
      <c r="Q11" s="213"/>
      <c r="R11" s="213"/>
      <c r="S11" s="213"/>
      <c r="T11" s="213"/>
      <c r="U11" s="213"/>
      <c r="V11" s="213"/>
      <c r="W11" s="213"/>
      <c r="X11" s="213">
        <f>IF(E11="","",LOOKUP(B11,'Gem types'!$B$3:$C$55,'Gem types'!$F$3:$F$55))</f>
      </c>
      <c r="Y11" s="213"/>
      <c r="Z11" s="213"/>
      <c r="AA11" s="213"/>
      <c r="AB11" s="213"/>
      <c r="AC11" s="213"/>
      <c r="AD11" s="213"/>
      <c r="AE11" s="213"/>
      <c r="AF11" s="215">
        <f t="shared" si="2"/>
      </c>
      <c r="AG11" s="213"/>
      <c r="AH11" s="213"/>
      <c r="AI11" s="213"/>
      <c r="AJ11" s="215">
        <f>IF(F11="","",LOOKUP(C11,'Gem types'!$I$3:$I$29,'Gem types'!$K$3:$K$29))</f>
      </c>
      <c r="AK11" s="215"/>
      <c r="AL11" s="215"/>
      <c r="AM11" s="215"/>
      <c r="AN11" s="215">
        <f>IF(F11="","",LOOKUP(C11,'Gem types'!$I$3:$I$29,'Gem types'!$L$3:$L$29))</f>
      </c>
      <c r="AO11" s="215"/>
      <c r="AP11" s="215"/>
      <c r="AQ11" s="215"/>
      <c r="AS11" s="219">
        <f t="shared" si="3"/>
      </c>
      <c r="AT11" s="219"/>
    </row>
    <row r="12" spans="1:46" s="99" customFormat="1" ht="21" customHeight="1">
      <c r="A12" s="127">
        <f>'Treasurer Creator'!AC30</f>
        <v>0</v>
      </c>
      <c r="B12" s="127">
        <f ca="1" t="shared" si="0"/>
        <v>51</v>
      </c>
      <c r="C12" s="128">
        <f ca="1" t="shared" si="1"/>
        <v>14</v>
      </c>
      <c r="D12" s="128">
        <f>SUM(LOOKUP(B12,'Gem types'!$B$3:$B$55,'Gem types'!$G$3:$G$55),PRODUCT(LOOKUP(B12,'Gem types'!$B$3:$B$55,'Gem types'!$G$3:$G$55),LOOKUP(C12,'Gem types'!$I$3:$I$29,'Gem types'!$J$3:$J$29)))</f>
        <v>1600</v>
      </c>
      <c r="E12" s="98">
        <f t="shared" si="4"/>
      </c>
      <c r="F12" s="213">
        <f>IF(E12="","",LOOKUP(B12,'Gem types'!B3:C55,'Gem types'!C3:C55))</f>
      </c>
      <c r="G12" s="213"/>
      <c r="H12" s="213"/>
      <c r="I12" s="213"/>
      <c r="J12" s="213"/>
      <c r="K12" s="213"/>
      <c r="L12" s="213"/>
      <c r="M12" s="213"/>
      <c r="N12" s="213"/>
      <c r="O12" s="213">
        <f>IF(E12="","",LOOKUP(B12,'Gem types'!$B$3:$C$55,'Gem types'!$D$3:$D$55))</f>
      </c>
      <c r="P12" s="213"/>
      <c r="Q12" s="213"/>
      <c r="R12" s="213"/>
      <c r="S12" s="213"/>
      <c r="T12" s="213"/>
      <c r="U12" s="213"/>
      <c r="V12" s="213"/>
      <c r="W12" s="213"/>
      <c r="X12" s="213">
        <f>IF(E12="","",LOOKUP(B12,'Gem types'!$B$3:$C$55,'Gem types'!$F$3:$F$55))</f>
      </c>
      <c r="Y12" s="213"/>
      <c r="Z12" s="213"/>
      <c r="AA12" s="213"/>
      <c r="AB12" s="213"/>
      <c r="AC12" s="213"/>
      <c r="AD12" s="213"/>
      <c r="AE12" s="213"/>
      <c r="AF12" s="215">
        <f t="shared" si="2"/>
      </c>
      <c r="AG12" s="213"/>
      <c r="AH12" s="213"/>
      <c r="AI12" s="213"/>
      <c r="AJ12" s="215">
        <f>IF(F12="","",LOOKUP(C12,'Gem types'!$I$3:$I$29,'Gem types'!$K$3:$K$29))</f>
      </c>
      <c r="AK12" s="215"/>
      <c r="AL12" s="215"/>
      <c r="AM12" s="215"/>
      <c r="AN12" s="215">
        <f>IF(F12="","",LOOKUP(C12,'Gem types'!$I$3:$I$29,'Gem types'!$L$3:$L$29))</f>
      </c>
      <c r="AO12" s="215"/>
      <c r="AP12" s="215"/>
      <c r="AQ12" s="215"/>
      <c r="AS12" s="219">
        <f t="shared" si="3"/>
      </c>
      <c r="AT12" s="219"/>
    </row>
    <row r="13" spans="1:46" s="99" customFormat="1" ht="21" customHeight="1">
      <c r="A13" s="127">
        <f>'Treasurer Creator'!AC30</f>
        <v>0</v>
      </c>
      <c r="B13" s="127">
        <f ca="1" t="shared" si="0"/>
        <v>34</v>
      </c>
      <c r="C13" s="128">
        <f ca="1" t="shared" si="1"/>
        <v>10</v>
      </c>
      <c r="D13" s="128">
        <f>SUM(LOOKUP(B13,'Gem types'!$B$3:$B$55,'Gem types'!$G$3:$G$55),PRODUCT(LOOKUP(B13,'Gem types'!$B$3:$B$55,'Gem types'!$G$3:$G$55),LOOKUP(C13,'Gem types'!$I$3:$I$29,'Gem types'!$J$3:$J$29)))</f>
        <v>120</v>
      </c>
      <c r="E13" s="98">
        <f t="shared" si="4"/>
      </c>
      <c r="F13" s="213">
        <f>IF(E13="","",LOOKUP(B13,'Gem types'!B3:C55,'Gem types'!C3:C55))</f>
      </c>
      <c r="G13" s="213"/>
      <c r="H13" s="213"/>
      <c r="I13" s="213"/>
      <c r="J13" s="213"/>
      <c r="K13" s="213"/>
      <c r="L13" s="213"/>
      <c r="M13" s="213"/>
      <c r="N13" s="213"/>
      <c r="O13" s="213">
        <f>IF(E13="","",LOOKUP(B13,'Gem types'!$B$3:$C$55,'Gem types'!$D$3:$D$55))</f>
      </c>
      <c r="P13" s="213"/>
      <c r="Q13" s="213"/>
      <c r="R13" s="213"/>
      <c r="S13" s="213"/>
      <c r="T13" s="213"/>
      <c r="U13" s="213"/>
      <c r="V13" s="213"/>
      <c r="W13" s="213"/>
      <c r="X13" s="213">
        <f>IF(E13="","",LOOKUP(B13,'Gem types'!$B$3:$C$55,'Gem types'!$F$3:$F$55))</f>
      </c>
      <c r="Y13" s="213"/>
      <c r="Z13" s="213"/>
      <c r="AA13" s="213"/>
      <c r="AB13" s="213"/>
      <c r="AC13" s="213"/>
      <c r="AD13" s="213"/>
      <c r="AE13" s="213"/>
      <c r="AF13" s="215">
        <f t="shared" si="2"/>
      </c>
      <c r="AG13" s="213"/>
      <c r="AH13" s="213"/>
      <c r="AI13" s="213"/>
      <c r="AJ13" s="215">
        <f>IF(F13="","",LOOKUP(C13,'Gem types'!$I$3:$I$29,'Gem types'!$K$3:$K$29))</f>
      </c>
      <c r="AK13" s="215"/>
      <c r="AL13" s="215"/>
      <c r="AM13" s="215"/>
      <c r="AN13" s="215">
        <f>IF(F13="","",LOOKUP(C13,'Gem types'!$I$3:$I$29,'Gem types'!$L$3:$L$29))</f>
      </c>
      <c r="AO13" s="215"/>
      <c r="AP13" s="215"/>
      <c r="AQ13" s="215"/>
      <c r="AS13" s="219">
        <f t="shared" si="3"/>
      </c>
      <c r="AT13" s="219"/>
    </row>
    <row r="14" spans="1:46" s="99" customFormat="1" ht="21" customHeight="1">
      <c r="A14" s="127">
        <f>'Treasurer Creator'!AC30</f>
        <v>0</v>
      </c>
      <c r="B14" s="127">
        <f ca="1" t="shared" si="0"/>
        <v>7</v>
      </c>
      <c r="C14" s="128">
        <f ca="1" t="shared" si="1"/>
        <v>22</v>
      </c>
      <c r="D14" s="128">
        <f>SUM(LOOKUP(B14,'Gem types'!$B$3:$B$55,'Gem types'!$G$3:$G$55),PRODUCT(LOOKUP(B14,'Gem types'!$B$3:$B$55,'Gem types'!$G$3:$G$55),LOOKUP(C14,'Gem types'!$I$3:$I$29,'Gem types'!$J$3:$J$29)))</f>
        <v>7</v>
      </c>
      <c r="E14" s="98">
        <f t="shared" si="4"/>
      </c>
      <c r="F14" s="213">
        <f>IF(E14="","",LOOKUP(B14,'Gem types'!B3:C55,'Gem types'!C3:C55))</f>
      </c>
      <c r="G14" s="213"/>
      <c r="H14" s="213"/>
      <c r="I14" s="213"/>
      <c r="J14" s="213"/>
      <c r="K14" s="213"/>
      <c r="L14" s="213"/>
      <c r="M14" s="213"/>
      <c r="N14" s="213"/>
      <c r="O14" s="213">
        <f>IF(E14="","",LOOKUP(B14,'Gem types'!$B$3:$C$55,'Gem types'!$D$3:$D$55))</f>
      </c>
      <c r="P14" s="213"/>
      <c r="Q14" s="213"/>
      <c r="R14" s="213"/>
      <c r="S14" s="213"/>
      <c r="T14" s="213"/>
      <c r="U14" s="213"/>
      <c r="V14" s="213"/>
      <c r="W14" s="213"/>
      <c r="X14" s="213">
        <f>IF(E14="","",LOOKUP(B14,'Gem types'!$B$3:$C$55,'Gem types'!$F$3:$F$55))</f>
      </c>
      <c r="Y14" s="213"/>
      <c r="Z14" s="213"/>
      <c r="AA14" s="213"/>
      <c r="AB14" s="213"/>
      <c r="AC14" s="213"/>
      <c r="AD14" s="213"/>
      <c r="AE14" s="213"/>
      <c r="AF14" s="215">
        <f t="shared" si="2"/>
      </c>
      <c r="AG14" s="213"/>
      <c r="AH14" s="213"/>
      <c r="AI14" s="213"/>
      <c r="AJ14" s="215">
        <f>IF(F14="","",LOOKUP(C14,'Gem types'!$I$3:$I$29,'Gem types'!$K$3:$K$29))</f>
      </c>
      <c r="AK14" s="215"/>
      <c r="AL14" s="215"/>
      <c r="AM14" s="215"/>
      <c r="AN14" s="215">
        <f>IF(F14="","",LOOKUP(C14,'Gem types'!$I$3:$I$29,'Gem types'!$L$3:$L$29))</f>
      </c>
      <c r="AO14" s="215"/>
      <c r="AP14" s="215"/>
      <c r="AQ14" s="215"/>
      <c r="AS14" s="219">
        <f t="shared" si="3"/>
      </c>
      <c r="AT14" s="219"/>
    </row>
    <row r="15" spans="1:46" s="99" customFormat="1" ht="21" customHeight="1">
      <c r="A15" s="127">
        <f>'Treasurer Creator'!AC30</f>
        <v>0</v>
      </c>
      <c r="B15" s="127">
        <f ca="1" t="shared" si="0"/>
        <v>40</v>
      </c>
      <c r="C15" s="128">
        <f ca="1" t="shared" si="1"/>
        <v>19</v>
      </c>
      <c r="D15" s="128">
        <f>SUM(LOOKUP(B15,'Gem types'!$B$3:$B$55,'Gem types'!$G$3:$G$55),PRODUCT(LOOKUP(B15,'Gem types'!$B$3:$B$55,'Gem types'!$G$3:$G$55),LOOKUP(C15,'Gem types'!$I$3:$I$29,'Gem types'!$J$3:$J$29)))</f>
        <v>6000</v>
      </c>
      <c r="E15" s="98">
        <f t="shared" si="4"/>
      </c>
      <c r="F15" s="213">
        <f>IF(E15="","",LOOKUP(B15,'Gem types'!B3:C55,'Gem types'!C3:C55))</f>
      </c>
      <c r="G15" s="213"/>
      <c r="H15" s="213"/>
      <c r="I15" s="213"/>
      <c r="J15" s="213"/>
      <c r="K15" s="213"/>
      <c r="L15" s="213"/>
      <c r="M15" s="213"/>
      <c r="N15" s="213"/>
      <c r="O15" s="213">
        <f>IF(E15="","",LOOKUP(B15,'Gem types'!$B$3:$C$55,'Gem types'!$D$3:$D$55))</f>
      </c>
      <c r="P15" s="213"/>
      <c r="Q15" s="213"/>
      <c r="R15" s="213"/>
      <c r="S15" s="213"/>
      <c r="T15" s="213"/>
      <c r="U15" s="213"/>
      <c r="V15" s="213"/>
      <c r="W15" s="213"/>
      <c r="X15" s="213">
        <f>IF(E15="","",LOOKUP(B15,'Gem types'!$B$3:$C$55,'Gem types'!$F$3:$F$55))</f>
      </c>
      <c r="Y15" s="213"/>
      <c r="Z15" s="213"/>
      <c r="AA15" s="213"/>
      <c r="AB15" s="213"/>
      <c r="AC15" s="213"/>
      <c r="AD15" s="213"/>
      <c r="AE15" s="213"/>
      <c r="AF15" s="215">
        <f t="shared" si="2"/>
      </c>
      <c r="AG15" s="213"/>
      <c r="AH15" s="213"/>
      <c r="AI15" s="213"/>
      <c r="AJ15" s="215">
        <f>IF(F15="","",LOOKUP(C15,'Gem types'!$I$3:$I$29,'Gem types'!$K$3:$K$29))</f>
      </c>
      <c r="AK15" s="215"/>
      <c r="AL15" s="215"/>
      <c r="AM15" s="215"/>
      <c r="AN15" s="215">
        <f>IF(F15="","",LOOKUP(C15,'Gem types'!$I$3:$I$29,'Gem types'!$L$3:$L$29))</f>
      </c>
      <c r="AO15" s="215"/>
      <c r="AP15" s="215"/>
      <c r="AQ15" s="215"/>
      <c r="AS15" s="219">
        <f t="shared" si="3"/>
      </c>
      <c r="AT15" s="219"/>
    </row>
    <row r="16" spans="1:46" s="99" customFormat="1" ht="21" customHeight="1">
      <c r="A16" s="127">
        <f>'Treasurer Creator'!AC30</f>
        <v>0</v>
      </c>
      <c r="B16" s="127">
        <f ca="1" t="shared" si="0"/>
        <v>49</v>
      </c>
      <c r="C16" s="128">
        <f ca="1" t="shared" si="1"/>
        <v>17</v>
      </c>
      <c r="D16" s="128">
        <f>SUM(LOOKUP(B16,'Gem types'!$B$3:$B$55,'Gem types'!$G$3:$G$55),PRODUCT(LOOKUP(B16,'Gem types'!$B$3:$B$55,'Gem types'!$G$3:$G$55),LOOKUP(C16,'Gem types'!$I$3:$I$29,'Gem types'!$J$3:$J$29)))</f>
        <v>4000</v>
      </c>
      <c r="E16" s="98">
        <f t="shared" si="4"/>
      </c>
      <c r="F16" s="213">
        <f>IF(E16="","",LOOKUP(B16,'Gem types'!B3:C55,'Gem types'!C3:C55))</f>
      </c>
      <c r="G16" s="213"/>
      <c r="H16" s="213"/>
      <c r="I16" s="213"/>
      <c r="J16" s="213"/>
      <c r="K16" s="213"/>
      <c r="L16" s="213"/>
      <c r="M16" s="213"/>
      <c r="N16" s="213"/>
      <c r="O16" s="213">
        <f>IF(E16="","",LOOKUP(B16,'Gem types'!$B$3:$C$55,'Gem types'!$D$3:$D$55))</f>
      </c>
      <c r="P16" s="213"/>
      <c r="Q16" s="213"/>
      <c r="R16" s="213"/>
      <c r="S16" s="213"/>
      <c r="T16" s="213"/>
      <c r="U16" s="213"/>
      <c r="V16" s="213"/>
      <c r="W16" s="213"/>
      <c r="X16" s="213">
        <f>IF(E16="","",LOOKUP(B16,'Gem types'!$B$3:$C$55,'Gem types'!$F$3:$F$55))</f>
      </c>
      <c r="Y16" s="213"/>
      <c r="Z16" s="213"/>
      <c r="AA16" s="213"/>
      <c r="AB16" s="213"/>
      <c r="AC16" s="213"/>
      <c r="AD16" s="213"/>
      <c r="AE16" s="213"/>
      <c r="AF16" s="215">
        <f t="shared" si="2"/>
      </c>
      <c r="AG16" s="213"/>
      <c r="AH16" s="213"/>
      <c r="AI16" s="213"/>
      <c r="AJ16" s="215">
        <f>IF(F16="","",LOOKUP(C16,'Gem types'!$I$3:$I$29,'Gem types'!$K$3:$K$29))</f>
      </c>
      <c r="AK16" s="215"/>
      <c r="AL16" s="215"/>
      <c r="AM16" s="215"/>
      <c r="AN16" s="215">
        <f>IF(F16="","",LOOKUP(C16,'Gem types'!$I$3:$I$29,'Gem types'!$L$3:$L$29))</f>
      </c>
      <c r="AO16" s="215"/>
      <c r="AP16" s="215"/>
      <c r="AQ16" s="215"/>
      <c r="AS16" s="219">
        <f t="shared" si="3"/>
      </c>
      <c r="AT16" s="219"/>
    </row>
    <row r="17" spans="1:46" s="99" customFormat="1" ht="21" customHeight="1">
      <c r="A17" s="127">
        <f>'Treasurer Creator'!AC30</f>
        <v>0</v>
      </c>
      <c r="B17" s="127">
        <f ca="1" t="shared" si="0"/>
        <v>27</v>
      </c>
      <c r="C17" s="128">
        <f ca="1" t="shared" si="1"/>
        <v>15</v>
      </c>
      <c r="D17" s="128">
        <f>SUM(LOOKUP(B17,'Gem types'!$B$3:$B$55,'Gem types'!$G$3:$G$55),PRODUCT(LOOKUP(B17,'Gem types'!$B$3:$B$55,'Gem types'!$G$3:$G$55),LOOKUP(C17,'Gem types'!$I$3:$I$29,'Gem types'!$J$3:$J$29)))</f>
        <v>200</v>
      </c>
      <c r="E17" s="98">
        <f t="shared" si="4"/>
      </c>
      <c r="F17" s="213">
        <f>IF(E17="","",LOOKUP(B17,'Gem types'!B3:C55,'Gem types'!C3:C55))</f>
      </c>
      <c r="G17" s="213"/>
      <c r="H17" s="213"/>
      <c r="I17" s="213"/>
      <c r="J17" s="213"/>
      <c r="K17" s="213"/>
      <c r="L17" s="213"/>
      <c r="M17" s="213"/>
      <c r="N17" s="213"/>
      <c r="O17" s="213">
        <f>IF(E17="","",LOOKUP(B17,'Gem types'!$B$3:$C$55,'Gem types'!$D$3:$D$55))</f>
      </c>
      <c r="P17" s="213"/>
      <c r="Q17" s="213"/>
      <c r="R17" s="213"/>
      <c r="S17" s="213"/>
      <c r="T17" s="213"/>
      <c r="U17" s="213"/>
      <c r="V17" s="213"/>
      <c r="W17" s="213"/>
      <c r="X17" s="213">
        <f>IF(E17="","",LOOKUP(B17,'Gem types'!$B$3:$C$55,'Gem types'!$F$3:$F$55))</f>
      </c>
      <c r="Y17" s="213"/>
      <c r="Z17" s="213"/>
      <c r="AA17" s="213"/>
      <c r="AB17" s="213"/>
      <c r="AC17" s="213"/>
      <c r="AD17" s="213"/>
      <c r="AE17" s="213"/>
      <c r="AF17" s="215">
        <f t="shared" si="2"/>
      </c>
      <c r="AG17" s="213"/>
      <c r="AH17" s="213"/>
      <c r="AI17" s="213"/>
      <c r="AJ17" s="215">
        <f>IF(F17="","",LOOKUP(C17,'Gem types'!$I$3:$I$29,'Gem types'!$K$3:$K$29))</f>
      </c>
      <c r="AK17" s="215"/>
      <c r="AL17" s="215"/>
      <c r="AM17" s="215"/>
      <c r="AN17" s="215">
        <f>IF(F17="","",LOOKUP(C17,'Gem types'!$I$3:$I$29,'Gem types'!$L$3:$L$29))</f>
      </c>
      <c r="AO17" s="215"/>
      <c r="AP17" s="215"/>
      <c r="AQ17" s="215"/>
      <c r="AS17" s="219">
        <f t="shared" si="3"/>
      </c>
      <c r="AT17" s="219"/>
    </row>
    <row r="18" spans="1:46" s="99" customFormat="1" ht="21" customHeight="1">
      <c r="A18" s="127">
        <f>'Treasurer Creator'!AC30</f>
        <v>0</v>
      </c>
      <c r="B18" s="127">
        <f ca="1" t="shared" si="0"/>
        <v>52</v>
      </c>
      <c r="C18" s="128">
        <f ca="1" t="shared" si="1"/>
        <v>20</v>
      </c>
      <c r="D18" s="128">
        <f>SUM(LOOKUP(B18,'Gem types'!$B$3:$B$55,'Gem types'!$G$3:$G$55),PRODUCT(LOOKUP(B18,'Gem types'!$B$3:$B$55,'Gem types'!$G$3:$G$55),LOOKUP(C18,'Gem types'!$I$3:$I$29,'Gem types'!$J$3:$J$29)))</f>
        <v>900</v>
      </c>
      <c r="E18" s="98">
        <f t="shared" si="4"/>
      </c>
      <c r="F18" s="213">
        <f>IF(E18="","",LOOKUP(B18,'Gem types'!B3:C55,'Gem types'!C3:C55))</f>
      </c>
      <c r="G18" s="213"/>
      <c r="H18" s="213"/>
      <c r="I18" s="213"/>
      <c r="J18" s="213"/>
      <c r="K18" s="213"/>
      <c r="L18" s="213"/>
      <c r="M18" s="213"/>
      <c r="N18" s="213"/>
      <c r="O18" s="213">
        <f>IF(E18="","",LOOKUP(B18,'Gem types'!$B$3:$C$55,'Gem types'!$D$3:$D$55))</f>
      </c>
      <c r="P18" s="213"/>
      <c r="Q18" s="213"/>
      <c r="R18" s="213"/>
      <c r="S18" s="213"/>
      <c r="T18" s="213"/>
      <c r="U18" s="213"/>
      <c r="V18" s="213"/>
      <c r="W18" s="213"/>
      <c r="X18" s="213">
        <f>IF(E18="","",LOOKUP(B18,'Gem types'!$B$3:$C$55,'Gem types'!$F$3:$F$55))</f>
      </c>
      <c r="Y18" s="213"/>
      <c r="Z18" s="213"/>
      <c r="AA18" s="213"/>
      <c r="AB18" s="213"/>
      <c r="AC18" s="213"/>
      <c r="AD18" s="213"/>
      <c r="AE18" s="213"/>
      <c r="AF18" s="215">
        <f t="shared" si="2"/>
      </c>
      <c r="AG18" s="213"/>
      <c r="AH18" s="213"/>
      <c r="AI18" s="213"/>
      <c r="AJ18" s="215">
        <f>IF(F18="","",LOOKUP(C18,'Gem types'!$I$3:$I$29,'Gem types'!$K$3:$K$29))</f>
      </c>
      <c r="AK18" s="215"/>
      <c r="AL18" s="215"/>
      <c r="AM18" s="215"/>
      <c r="AN18" s="215">
        <f>IF(F18="","",LOOKUP(C18,'Gem types'!$I$3:$I$29,'Gem types'!$L$3:$L$29))</f>
      </c>
      <c r="AO18" s="215"/>
      <c r="AP18" s="215"/>
      <c r="AQ18" s="215"/>
      <c r="AS18" s="219">
        <f t="shared" si="3"/>
      </c>
      <c r="AT18" s="219"/>
    </row>
    <row r="19" spans="1:46" s="99" customFormat="1" ht="21" customHeight="1">
      <c r="A19" s="127">
        <f>'Treasurer Creator'!AC30</f>
        <v>0</v>
      </c>
      <c r="B19" s="127">
        <f ca="1" t="shared" si="0"/>
        <v>32</v>
      </c>
      <c r="C19" s="128">
        <f ca="1" t="shared" si="1"/>
        <v>5</v>
      </c>
      <c r="D19" s="128">
        <f>SUM(LOOKUP(B19,'Gem types'!$B$3:$B$55,'Gem types'!$G$3:$G$55),PRODUCT(LOOKUP(B19,'Gem types'!$B$3:$B$55,'Gem types'!$G$3:$G$55),LOOKUP(C19,'Gem types'!$I$3:$I$29,'Gem types'!$J$3:$J$29)))</f>
        <v>500</v>
      </c>
      <c r="E19" s="98">
        <f t="shared" si="4"/>
      </c>
      <c r="F19" s="213">
        <f>IF(E19="","",LOOKUP(B19,'Gem types'!B3:C55,'Gem types'!C3:C55))</f>
      </c>
      <c r="G19" s="213"/>
      <c r="H19" s="213"/>
      <c r="I19" s="213"/>
      <c r="J19" s="213"/>
      <c r="K19" s="213"/>
      <c r="L19" s="213"/>
      <c r="M19" s="213"/>
      <c r="N19" s="213"/>
      <c r="O19" s="213">
        <f>IF(E19="","",LOOKUP(B19,'Gem types'!$B$3:$C$55,'Gem types'!$D$3:$D$55))</f>
      </c>
      <c r="P19" s="213"/>
      <c r="Q19" s="213"/>
      <c r="R19" s="213"/>
      <c r="S19" s="213"/>
      <c r="T19" s="213"/>
      <c r="U19" s="213"/>
      <c r="V19" s="213"/>
      <c r="W19" s="213"/>
      <c r="X19" s="213">
        <f>IF(E19="","",LOOKUP(B19,'Gem types'!$B$3:$C$55,'Gem types'!$F$3:$F$55))</f>
      </c>
      <c r="Y19" s="213"/>
      <c r="Z19" s="213"/>
      <c r="AA19" s="213"/>
      <c r="AB19" s="213"/>
      <c r="AC19" s="213"/>
      <c r="AD19" s="213"/>
      <c r="AE19" s="213"/>
      <c r="AF19" s="215">
        <f t="shared" si="2"/>
      </c>
      <c r="AG19" s="213"/>
      <c r="AH19" s="213"/>
      <c r="AI19" s="213"/>
      <c r="AJ19" s="215">
        <f>IF(F19="","",LOOKUP(C19,'Gem types'!$I$3:$I$29,'Gem types'!$K$3:$K$29))</f>
      </c>
      <c r="AK19" s="215"/>
      <c r="AL19" s="215"/>
      <c r="AM19" s="215"/>
      <c r="AN19" s="215">
        <f>IF(F19="","",LOOKUP(C19,'Gem types'!$I$3:$I$29,'Gem types'!$L$3:$L$29))</f>
      </c>
      <c r="AO19" s="215"/>
      <c r="AP19" s="215"/>
      <c r="AQ19" s="215"/>
      <c r="AS19" s="219">
        <f t="shared" si="3"/>
      </c>
      <c r="AT19" s="219"/>
    </row>
    <row r="20" spans="1:46" s="99" customFormat="1" ht="21" customHeight="1">
      <c r="A20" s="127">
        <f>'Treasurer Creator'!AC30</f>
        <v>0</v>
      </c>
      <c r="B20" s="127">
        <f ca="1" t="shared" si="0"/>
        <v>8</v>
      </c>
      <c r="C20" s="128">
        <f ca="1" t="shared" si="1"/>
        <v>4</v>
      </c>
      <c r="D20" s="128">
        <f>SUM(LOOKUP(B20,'Gem types'!$B$3:$B$55,'Gem types'!$G$3:$G$55),PRODUCT(LOOKUP(B20,'Gem types'!$B$3:$B$55,'Gem types'!$G$3:$G$55),LOOKUP(C20,'Gem types'!$I$3:$I$29,'Gem types'!$J$3:$J$29)))</f>
        <v>30</v>
      </c>
      <c r="E20" s="98">
        <f t="shared" si="4"/>
      </c>
      <c r="F20" s="213">
        <f>IF(E20="","",LOOKUP(B20,'Gem types'!B3:C55,'Gem types'!C3:C55))</f>
      </c>
      <c r="G20" s="213"/>
      <c r="H20" s="213"/>
      <c r="I20" s="213"/>
      <c r="J20" s="213"/>
      <c r="K20" s="213"/>
      <c r="L20" s="213"/>
      <c r="M20" s="213"/>
      <c r="N20" s="213"/>
      <c r="O20" s="213">
        <f>IF(E20="","",LOOKUP(B20,'Gem types'!$B$3:$C$55,'Gem types'!$D$3:$D$55))</f>
      </c>
      <c r="P20" s="213"/>
      <c r="Q20" s="213"/>
      <c r="R20" s="213"/>
      <c r="S20" s="213"/>
      <c r="T20" s="213"/>
      <c r="U20" s="213"/>
      <c r="V20" s="213"/>
      <c r="W20" s="213"/>
      <c r="X20" s="213">
        <f>IF(E20="","",LOOKUP(B20,'Gem types'!$B$3:$C$55,'Gem types'!$F$3:$F$55))</f>
      </c>
      <c r="Y20" s="213"/>
      <c r="Z20" s="213"/>
      <c r="AA20" s="213"/>
      <c r="AB20" s="213"/>
      <c r="AC20" s="213"/>
      <c r="AD20" s="213"/>
      <c r="AE20" s="213"/>
      <c r="AF20" s="215">
        <f t="shared" si="2"/>
      </c>
      <c r="AG20" s="213"/>
      <c r="AH20" s="213"/>
      <c r="AI20" s="213"/>
      <c r="AJ20" s="215">
        <f>IF(F20="","",LOOKUP(C20,'Gem types'!$I$3:$I$29,'Gem types'!$K$3:$K$29))</f>
      </c>
      <c r="AK20" s="215"/>
      <c r="AL20" s="215"/>
      <c r="AM20" s="215"/>
      <c r="AN20" s="215">
        <f>IF(F20="","",LOOKUP(C20,'Gem types'!$I$3:$I$29,'Gem types'!$L$3:$L$29))</f>
      </c>
      <c r="AO20" s="215"/>
      <c r="AP20" s="215"/>
      <c r="AQ20" s="215"/>
      <c r="AS20" s="219">
        <f t="shared" si="3"/>
      </c>
      <c r="AT20" s="219"/>
    </row>
    <row r="21" spans="1:46" s="99" customFormat="1" ht="21" customHeight="1">
      <c r="A21" s="127">
        <f>'Treasurer Creator'!AC30</f>
        <v>0</v>
      </c>
      <c r="B21" s="127">
        <f ca="1" t="shared" si="0"/>
        <v>26</v>
      </c>
      <c r="C21" s="128">
        <f ca="1" t="shared" si="1"/>
        <v>1</v>
      </c>
      <c r="D21" s="128">
        <f>SUM(LOOKUP(B21,'Gem types'!$B$3:$B$55,'Gem types'!$G$3:$G$55),PRODUCT(LOOKUP(B21,'Gem types'!$B$3:$B$55,'Gem types'!$G$3:$G$55),LOOKUP(C21,'Gem types'!$I$3:$I$29,'Gem types'!$J$3:$J$29)))</f>
        <v>2100</v>
      </c>
      <c r="E21" s="98">
        <f t="shared" si="4"/>
      </c>
      <c r="F21" s="213">
        <f>IF(E21="","",LOOKUP(B21,'Gem types'!B3:C55,'Gem types'!C3:C55))</f>
      </c>
      <c r="G21" s="213"/>
      <c r="H21" s="213"/>
      <c r="I21" s="213"/>
      <c r="J21" s="213"/>
      <c r="K21" s="213"/>
      <c r="L21" s="213"/>
      <c r="M21" s="213"/>
      <c r="N21" s="213"/>
      <c r="O21" s="213">
        <f>IF(E21="","",LOOKUP(B21,'Gem types'!$B$3:$C$55,'Gem types'!$D$3:$D$55))</f>
      </c>
      <c r="P21" s="213"/>
      <c r="Q21" s="213"/>
      <c r="R21" s="213"/>
      <c r="S21" s="213"/>
      <c r="T21" s="213"/>
      <c r="U21" s="213"/>
      <c r="V21" s="213"/>
      <c r="W21" s="213"/>
      <c r="X21" s="213">
        <f>IF(E21="","",LOOKUP(B21,'Gem types'!$B$3:$C$55,'Gem types'!$F$3:$F$55))</f>
      </c>
      <c r="Y21" s="213"/>
      <c r="Z21" s="213"/>
      <c r="AA21" s="213"/>
      <c r="AB21" s="213"/>
      <c r="AC21" s="213"/>
      <c r="AD21" s="213"/>
      <c r="AE21" s="213"/>
      <c r="AF21" s="215">
        <f t="shared" si="2"/>
      </c>
      <c r="AG21" s="213"/>
      <c r="AH21" s="213"/>
      <c r="AI21" s="213"/>
      <c r="AJ21" s="215">
        <f>IF(F21="","",LOOKUP(C21,'Gem types'!$I$3:$I$29,'Gem types'!$K$3:$K$29))</f>
      </c>
      <c r="AK21" s="215"/>
      <c r="AL21" s="215"/>
      <c r="AM21" s="215"/>
      <c r="AN21" s="215">
        <f>IF(F21="","",LOOKUP(C21,'Gem types'!$I$3:$I$29,'Gem types'!$L$3:$L$29))</f>
      </c>
      <c r="AO21" s="215"/>
      <c r="AP21" s="215"/>
      <c r="AQ21" s="215"/>
      <c r="AS21" s="219">
        <f t="shared" si="3"/>
      </c>
      <c r="AT21" s="219"/>
    </row>
    <row r="22" spans="1:46" s="99" customFormat="1" ht="21" customHeight="1">
      <c r="A22" s="127">
        <f>'Treasurer Creator'!AC30</f>
        <v>0</v>
      </c>
      <c r="B22" s="127">
        <f ca="1" t="shared" si="0"/>
        <v>4</v>
      </c>
      <c r="C22" s="128">
        <f ca="1" t="shared" si="1"/>
        <v>21</v>
      </c>
      <c r="D22" s="128">
        <f>SUM(LOOKUP(B22,'Gem types'!$B$3:$B$55,'Gem types'!$G$3:$G$55),PRODUCT(LOOKUP(B22,'Gem types'!$B$3:$B$55,'Gem types'!$G$3:$G$55),LOOKUP(C22,'Gem types'!$I$3:$I$29,'Gem types'!$J$3:$J$29)))</f>
        <v>8</v>
      </c>
      <c r="E22" s="98">
        <f t="shared" si="4"/>
      </c>
      <c r="F22" s="213">
        <f>IF(E22="","",LOOKUP(B22,'Gem types'!B3:C55,'Gem types'!C3:C55))</f>
      </c>
      <c r="G22" s="213"/>
      <c r="H22" s="213"/>
      <c r="I22" s="213"/>
      <c r="J22" s="213"/>
      <c r="K22" s="213"/>
      <c r="L22" s="213"/>
      <c r="M22" s="213"/>
      <c r="N22" s="213"/>
      <c r="O22" s="213">
        <f>IF(E22="","",LOOKUP(B22,'Gem types'!$B$3:$C$55,'Gem types'!$D$3:$D$55))</f>
      </c>
      <c r="P22" s="213"/>
      <c r="Q22" s="213"/>
      <c r="R22" s="213"/>
      <c r="S22" s="213"/>
      <c r="T22" s="213"/>
      <c r="U22" s="213"/>
      <c r="V22" s="213"/>
      <c r="W22" s="213"/>
      <c r="X22" s="213">
        <f>IF(E22="","",LOOKUP(B22,'Gem types'!$B$3:$C$55,'Gem types'!$F$3:$F$55))</f>
      </c>
      <c r="Y22" s="213"/>
      <c r="Z22" s="213"/>
      <c r="AA22" s="213"/>
      <c r="AB22" s="213"/>
      <c r="AC22" s="213"/>
      <c r="AD22" s="213"/>
      <c r="AE22" s="213"/>
      <c r="AF22" s="215">
        <f t="shared" si="2"/>
      </c>
      <c r="AG22" s="213"/>
      <c r="AH22" s="213"/>
      <c r="AI22" s="213"/>
      <c r="AJ22" s="215">
        <f>IF(F22="","",LOOKUP(C22,'Gem types'!$I$3:$I$29,'Gem types'!$K$3:$K$29))</f>
      </c>
      <c r="AK22" s="215"/>
      <c r="AL22" s="215"/>
      <c r="AM22" s="215"/>
      <c r="AN22" s="215">
        <f>IF(F22="","",LOOKUP(C22,'Gem types'!$I$3:$I$29,'Gem types'!$L$3:$L$29))</f>
      </c>
      <c r="AO22" s="215"/>
      <c r="AP22" s="215"/>
      <c r="AQ22" s="215"/>
      <c r="AS22" s="219">
        <f t="shared" si="3"/>
      </c>
      <c r="AT22" s="219"/>
    </row>
    <row r="23" spans="1:46" s="99" customFormat="1" ht="21" customHeight="1">
      <c r="A23" s="127">
        <f>'Treasurer Creator'!AC30</f>
        <v>0</v>
      </c>
      <c r="B23" s="127">
        <f ca="1" t="shared" si="0"/>
        <v>23</v>
      </c>
      <c r="C23" s="128">
        <f ca="1" t="shared" si="1"/>
        <v>17</v>
      </c>
      <c r="D23" s="128">
        <f>SUM(LOOKUP(B23,'Gem types'!$B$3:$B$55,'Gem types'!$G$3:$G$55),PRODUCT(LOOKUP(B23,'Gem types'!$B$3:$B$55,'Gem types'!$G$3:$G$55),LOOKUP(C23,'Gem types'!$I$3:$I$29,'Gem types'!$J$3:$J$29)))</f>
        <v>200</v>
      </c>
      <c r="E23" s="98">
        <f t="shared" si="4"/>
      </c>
      <c r="F23" s="213">
        <f>IF(E23="","",LOOKUP(B23,'Gem types'!B3:C55,'Gem types'!C3:C55))</f>
      </c>
      <c r="G23" s="213"/>
      <c r="H23" s="213"/>
      <c r="I23" s="213"/>
      <c r="J23" s="213"/>
      <c r="K23" s="213"/>
      <c r="L23" s="213"/>
      <c r="M23" s="213"/>
      <c r="N23" s="213"/>
      <c r="O23" s="213">
        <f>IF(E23="","",LOOKUP(B23,'Gem types'!$B$3:$C$55,'Gem types'!$D$3:$D$55))</f>
      </c>
      <c r="P23" s="213"/>
      <c r="Q23" s="213"/>
      <c r="R23" s="213"/>
      <c r="S23" s="213"/>
      <c r="T23" s="213"/>
      <c r="U23" s="213"/>
      <c r="V23" s="213"/>
      <c r="W23" s="213"/>
      <c r="X23" s="213">
        <f>IF(E23="","",LOOKUP(B23,'Gem types'!$B$3:$C$55,'Gem types'!$F$3:$F$55))</f>
      </c>
      <c r="Y23" s="213"/>
      <c r="Z23" s="213"/>
      <c r="AA23" s="213"/>
      <c r="AB23" s="213"/>
      <c r="AC23" s="213"/>
      <c r="AD23" s="213"/>
      <c r="AE23" s="213"/>
      <c r="AF23" s="215">
        <f t="shared" si="2"/>
      </c>
      <c r="AG23" s="213"/>
      <c r="AH23" s="213"/>
      <c r="AI23" s="213"/>
      <c r="AJ23" s="215">
        <f>IF(F23="","",LOOKUP(C23,'Gem types'!$I$3:$I$29,'Gem types'!$K$3:$K$29))</f>
      </c>
      <c r="AK23" s="215"/>
      <c r="AL23" s="215"/>
      <c r="AM23" s="215"/>
      <c r="AN23" s="215">
        <f>IF(F23="","",LOOKUP(C23,'Gem types'!$I$3:$I$29,'Gem types'!$L$3:$L$29))</f>
      </c>
      <c r="AO23" s="215"/>
      <c r="AP23" s="215"/>
      <c r="AQ23" s="215"/>
      <c r="AS23" s="219">
        <f t="shared" si="3"/>
      </c>
      <c r="AT23" s="219"/>
    </row>
    <row r="24" spans="1:46" s="99" customFormat="1" ht="21" customHeight="1">
      <c r="A24" s="127">
        <f>'Treasurer Creator'!AC30</f>
        <v>0</v>
      </c>
      <c r="B24" s="127">
        <f ca="1" t="shared" si="0"/>
        <v>12</v>
      </c>
      <c r="C24" s="128">
        <f ca="1" t="shared" si="1"/>
        <v>2</v>
      </c>
      <c r="D24" s="128">
        <f>SUM(LOOKUP(B24,'Gem types'!$B$3:$B$55,'Gem types'!$G$3:$G$55),PRODUCT(LOOKUP(B24,'Gem types'!$B$3:$B$55,'Gem types'!$G$3:$G$55),LOOKUP(C24,'Gem types'!$I$3:$I$29,'Gem types'!$J$3:$J$29)))</f>
        <v>110</v>
      </c>
      <c r="E24" s="98">
        <f t="shared" si="4"/>
      </c>
      <c r="F24" s="213">
        <f>IF(E24="","",LOOKUP(B24,'Gem types'!B3:C55,'Gem types'!C3:C55))</f>
      </c>
      <c r="G24" s="213"/>
      <c r="H24" s="213"/>
      <c r="I24" s="213"/>
      <c r="J24" s="213"/>
      <c r="K24" s="213"/>
      <c r="L24" s="213"/>
      <c r="M24" s="213"/>
      <c r="N24" s="213"/>
      <c r="O24" s="213">
        <f>IF(E24="","",LOOKUP(B24,'Gem types'!$B$3:$C$55,'Gem types'!$D$3:$D$55))</f>
      </c>
      <c r="P24" s="213"/>
      <c r="Q24" s="213"/>
      <c r="R24" s="213"/>
      <c r="S24" s="213"/>
      <c r="T24" s="213"/>
      <c r="U24" s="213"/>
      <c r="V24" s="213"/>
      <c r="W24" s="213"/>
      <c r="X24" s="213">
        <f>IF(E24="","",LOOKUP(B24,'Gem types'!$B$3:$C$55,'Gem types'!$F$3:$F$55))</f>
      </c>
      <c r="Y24" s="213"/>
      <c r="Z24" s="213"/>
      <c r="AA24" s="213"/>
      <c r="AB24" s="213"/>
      <c r="AC24" s="213"/>
      <c r="AD24" s="213"/>
      <c r="AE24" s="213"/>
      <c r="AF24" s="215">
        <f t="shared" si="2"/>
      </c>
      <c r="AG24" s="213"/>
      <c r="AH24" s="213"/>
      <c r="AI24" s="213"/>
      <c r="AJ24" s="215">
        <f>IF(F24="","",LOOKUP(C24,'Gem types'!$I$3:$I$29,'Gem types'!$K$3:$K$29))</f>
      </c>
      <c r="AK24" s="215"/>
      <c r="AL24" s="215"/>
      <c r="AM24" s="215"/>
      <c r="AN24" s="215">
        <f>IF(F24="","",LOOKUP(C24,'Gem types'!$I$3:$I$29,'Gem types'!$L$3:$L$29))</f>
      </c>
      <c r="AO24" s="215"/>
      <c r="AP24" s="215"/>
      <c r="AQ24" s="215"/>
      <c r="AS24" s="219">
        <f t="shared" si="3"/>
      </c>
      <c r="AT24" s="219"/>
    </row>
    <row r="25" spans="1:46" s="99" customFormat="1" ht="21" customHeight="1">
      <c r="A25" s="127">
        <f>'Treasurer Creator'!AC30</f>
        <v>0</v>
      </c>
      <c r="B25" s="127">
        <f ca="1" t="shared" si="0"/>
        <v>37</v>
      </c>
      <c r="C25" s="128">
        <f ca="1" t="shared" si="1"/>
        <v>27</v>
      </c>
      <c r="D25" s="128">
        <f>SUM(LOOKUP(B25,'Gem types'!$B$3:$B$55,'Gem types'!$G$3:$G$55),PRODUCT(LOOKUP(B25,'Gem types'!$B$3:$B$55,'Gem types'!$G$3:$G$55),LOOKUP(C25,'Gem types'!$I$3:$I$29,'Gem types'!$J$3:$J$29)))</f>
        <v>50</v>
      </c>
      <c r="E25" s="98">
        <f t="shared" si="4"/>
      </c>
      <c r="F25" s="213">
        <f>IF(E25="","",LOOKUP(B25,'Gem types'!B3:C55,'Gem types'!C3:C55))</f>
      </c>
      <c r="G25" s="213"/>
      <c r="H25" s="213"/>
      <c r="I25" s="213"/>
      <c r="J25" s="213"/>
      <c r="K25" s="213"/>
      <c r="L25" s="213"/>
      <c r="M25" s="213"/>
      <c r="N25" s="213"/>
      <c r="O25" s="213">
        <f>IF(E25="","",LOOKUP(B25,'Gem types'!$B$3:$C$55,'Gem types'!$D$3:$D$55))</f>
      </c>
      <c r="P25" s="213"/>
      <c r="Q25" s="213"/>
      <c r="R25" s="213"/>
      <c r="S25" s="213"/>
      <c r="T25" s="213"/>
      <c r="U25" s="213"/>
      <c r="V25" s="213"/>
      <c r="W25" s="213"/>
      <c r="X25" s="213">
        <f>IF(E25="","",LOOKUP(B25,'Gem types'!$B$3:$C$55,'Gem types'!$F$3:$F$55))</f>
      </c>
      <c r="Y25" s="213"/>
      <c r="Z25" s="213"/>
      <c r="AA25" s="213"/>
      <c r="AB25" s="213"/>
      <c r="AC25" s="213"/>
      <c r="AD25" s="213"/>
      <c r="AE25" s="213"/>
      <c r="AF25" s="215">
        <f t="shared" si="2"/>
      </c>
      <c r="AG25" s="213"/>
      <c r="AH25" s="213"/>
      <c r="AI25" s="213"/>
      <c r="AJ25" s="215">
        <f>IF(F25="","",LOOKUP(C25,'Gem types'!$I$3:$I$29,'Gem types'!$K$3:$K$29))</f>
      </c>
      <c r="AK25" s="215"/>
      <c r="AL25" s="215"/>
      <c r="AM25" s="215"/>
      <c r="AN25" s="215">
        <f>IF(F25="","",LOOKUP(C25,'Gem types'!$I$3:$I$29,'Gem types'!$L$3:$L$29))</f>
      </c>
      <c r="AO25" s="215"/>
      <c r="AP25" s="215"/>
      <c r="AQ25" s="215"/>
      <c r="AS25" s="219">
        <f t="shared" si="3"/>
      </c>
      <c r="AT25" s="219"/>
    </row>
    <row r="26" spans="1:46" s="99" customFormat="1" ht="21" customHeight="1">
      <c r="A26" s="127">
        <f>'Treasurer Creator'!AC30</f>
        <v>0</v>
      </c>
      <c r="B26" s="127">
        <f ca="1" t="shared" si="0"/>
        <v>46</v>
      </c>
      <c r="C26" s="128">
        <f ca="1" t="shared" si="1"/>
        <v>13</v>
      </c>
      <c r="D26" s="128">
        <f>SUM(LOOKUP(B26,'Gem types'!$B$3:$B$55,'Gem types'!$G$3:$G$55),PRODUCT(LOOKUP(B26,'Gem types'!$B$3:$B$55,'Gem types'!$G$3:$G$55),LOOKUP(C26,'Gem types'!$I$3:$I$29,'Gem types'!$J$3:$J$29)))</f>
        <v>1500</v>
      </c>
      <c r="E26" s="98">
        <f t="shared" si="4"/>
      </c>
      <c r="F26" s="213">
        <f>IF(E26="","",LOOKUP(B26,'Gem types'!B3:C55,'Gem types'!C3:C55))</f>
      </c>
      <c r="G26" s="213"/>
      <c r="H26" s="213"/>
      <c r="I26" s="213"/>
      <c r="J26" s="213"/>
      <c r="K26" s="213"/>
      <c r="L26" s="213"/>
      <c r="M26" s="213"/>
      <c r="N26" s="213"/>
      <c r="O26" s="213">
        <f>IF(E26="","",LOOKUP(B26,'Gem types'!$B$3:$C$55,'Gem types'!$D$3:$D$55))</f>
      </c>
      <c r="P26" s="213"/>
      <c r="Q26" s="213"/>
      <c r="R26" s="213"/>
      <c r="S26" s="213"/>
      <c r="T26" s="213"/>
      <c r="U26" s="213"/>
      <c r="V26" s="213"/>
      <c r="W26" s="213"/>
      <c r="X26" s="213">
        <f>IF(E26="","",LOOKUP(B26,'Gem types'!$B$3:$C$55,'Gem types'!$F$3:$F$55))</f>
      </c>
      <c r="Y26" s="213"/>
      <c r="Z26" s="213"/>
      <c r="AA26" s="213"/>
      <c r="AB26" s="213"/>
      <c r="AC26" s="213"/>
      <c r="AD26" s="213"/>
      <c r="AE26" s="213"/>
      <c r="AF26" s="215">
        <f t="shared" si="2"/>
      </c>
      <c r="AG26" s="213"/>
      <c r="AH26" s="213"/>
      <c r="AI26" s="213"/>
      <c r="AJ26" s="215">
        <f>IF(F26="","",LOOKUP(C26,'Gem types'!$I$3:$I$29,'Gem types'!$K$3:$K$29))</f>
      </c>
      <c r="AK26" s="215"/>
      <c r="AL26" s="215"/>
      <c r="AM26" s="215"/>
      <c r="AN26" s="215">
        <f>IF(F26="","",LOOKUP(C26,'Gem types'!$I$3:$I$29,'Gem types'!$L$3:$L$29))</f>
      </c>
      <c r="AO26" s="215"/>
      <c r="AP26" s="215"/>
      <c r="AQ26" s="215"/>
      <c r="AS26" s="219">
        <f t="shared" si="3"/>
      </c>
      <c r="AT26" s="219"/>
    </row>
    <row r="27" spans="1:46" s="99" customFormat="1" ht="21" customHeight="1">
      <c r="A27" s="127">
        <f>'Treasurer Creator'!AC30</f>
        <v>0</v>
      </c>
      <c r="B27" s="127">
        <f ca="1" t="shared" si="0"/>
        <v>38</v>
      </c>
      <c r="C27" s="128">
        <f ca="1" t="shared" si="1"/>
        <v>3</v>
      </c>
      <c r="D27" s="128">
        <f>SUM(LOOKUP(B27,'Gem types'!$B$3:$B$55,'Gem types'!$G$3:$G$55),PRODUCT(LOOKUP(B27,'Gem types'!$B$3:$B$55,'Gem types'!$G$3:$G$55),LOOKUP(C27,'Gem types'!$I$3:$I$29,'Gem types'!$J$3:$J$29)))</f>
        <v>3000</v>
      </c>
      <c r="E27" s="98">
        <f t="shared" si="4"/>
      </c>
      <c r="F27" s="213">
        <f>IF(E27="","",LOOKUP(B27,'Gem types'!B3:C55,'Gem types'!C3:C55))</f>
      </c>
      <c r="G27" s="213"/>
      <c r="H27" s="213"/>
      <c r="I27" s="213"/>
      <c r="J27" s="213"/>
      <c r="K27" s="213"/>
      <c r="L27" s="213"/>
      <c r="M27" s="213"/>
      <c r="N27" s="213"/>
      <c r="O27" s="213">
        <f>IF(E27="","",LOOKUP(B27,'Gem types'!$B$3:$C$55,'Gem types'!$D$3:$D$55))</f>
      </c>
      <c r="P27" s="213"/>
      <c r="Q27" s="213"/>
      <c r="R27" s="213"/>
      <c r="S27" s="213"/>
      <c r="T27" s="213"/>
      <c r="U27" s="213"/>
      <c r="V27" s="213"/>
      <c r="W27" s="213"/>
      <c r="X27" s="213">
        <f>IF(E27="","",LOOKUP(B27,'Gem types'!$B$3:$C$55,'Gem types'!$F$3:$F$55))</f>
      </c>
      <c r="Y27" s="213"/>
      <c r="Z27" s="213"/>
      <c r="AA27" s="213"/>
      <c r="AB27" s="213"/>
      <c r="AC27" s="213"/>
      <c r="AD27" s="213"/>
      <c r="AE27" s="213"/>
      <c r="AF27" s="215">
        <f t="shared" si="2"/>
      </c>
      <c r="AG27" s="213"/>
      <c r="AH27" s="213"/>
      <c r="AI27" s="213"/>
      <c r="AJ27" s="215">
        <f>IF(F27="","",LOOKUP(C27,'Gem types'!$I$3:$I$29,'Gem types'!$K$3:$K$29))</f>
      </c>
      <c r="AK27" s="215"/>
      <c r="AL27" s="215"/>
      <c r="AM27" s="215"/>
      <c r="AN27" s="215">
        <f>IF(F27="","",LOOKUP(C27,'Gem types'!$I$3:$I$29,'Gem types'!$L$3:$L$29))</f>
      </c>
      <c r="AO27" s="215"/>
      <c r="AP27" s="215"/>
      <c r="AQ27" s="215"/>
      <c r="AS27" s="219">
        <f t="shared" si="3"/>
      </c>
      <c r="AT27" s="219"/>
    </row>
    <row r="28" spans="1:46" s="99" customFormat="1" ht="21" customHeight="1">
      <c r="A28" s="127">
        <f>'Treasurer Creator'!AC30</f>
        <v>0</v>
      </c>
      <c r="B28" s="127">
        <f ca="1" t="shared" si="0"/>
        <v>14</v>
      </c>
      <c r="C28" s="128">
        <f ca="1" t="shared" si="1"/>
        <v>22</v>
      </c>
      <c r="D28" s="128">
        <f>SUM(LOOKUP(B28,'Gem types'!$B$3:$B$55,'Gem types'!$G$3:$G$55),PRODUCT(LOOKUP(B28,'Gem types'!$B$3:$B$55,'Gem types'!$G$3:$G$55),LOOKUP(C28,'Gem types'!$I$3:$I$29,'Gem types'!$J$3:$J$29)))</f>
        <v>35</v>
      </c>
      <c r="E28" s="98">
        <f t="shared" si="4"/>
      </c>
      <c r="F28" s="213">
        <f>IF(E28="","",LOOKUP(B28,'Gem types'!B3:C55,'Gem types'!C3:C55))</f>
      </c>
      <c r="G28" s="213"/>
      <c r="H28" s="213"/>
      <c r="I28" s="213"/>
      <c r="J28" s="213"/>
      <c r="K28" s="213"/>
      <c r="L28" s="213"/>
      <c r="M28" s="213"/>
      <c r="N28" s="213"/>
      <c r="O28" s="213">
        <f>IF(E28="","",LOOKUP(B28,'Gem types'!$B$3:$C$55,'Gem types'!$D$3:$D$55))</f>
      </c>
      <c r="P28" s="213"/>
      <c r="Q28" s="213"/>
      <c r="R28" s="213"/>
      <c r="S28" s="213"/>
      <c r="T28" s="213"/>
      <c r="U28" s="213"/>
      <c r="V28" s="213"/>
      <c r="W28" s="213"/>
      <c r="X28" s="213">
        <f>IF(E28="","",LOOKUP(B28,'Gem types'!$B$3:$C$55,'Gem types'!$F$3:$F$55))</f>
      </c>
      <c r="Y28" s="213"/>
      <c r="Z28" s="213"/>
      <c r="AA28" s="213"/>
      <c r="AB28" s="213"/>
      <c r="AC28" s="213"/>
      <c r="AD28" s="213"/>
      <c r="AE28" s="213"/>
      <c r="AF28" s="215">
        <f t="shared" si="2"/>
      </c>
      <c r="AG28" s="213"/>
      <c r="AH28" s="213"/>
      <c r="AI28" s="213"/>
      <c r="AJ28" s="215">
        <f>IF(F28="","",LOOKUP(C28,'Gem types'!$I$3:$I$29,'Gem types'!$K$3:$K$29))</f>
      </c>
      <c r="AK28" s="215"/>
      <c r="AL28" s="215"/>
      <c r="AM28" s="215"/>
      <c r="AN28" s="215">
        <f>IF(F28="","",LOOKUP(C28,'Gem types'!$I$3:$I$29,'Gem types'!$L$3:$L$29))</f>
      </c>
      <c r="AO28" s="215"/>
      <c r="AP28" s="215"/>
      <c r="AQ28" s="215"/>
      <c r="AS28" s="219">
        <f t="shared" si="3"/>
      </c>
      <c r="AT28" s="219"/>
    </row>
    <row r="29" spans="1:46" s="99" customFormat="1" ht="21" customHeight="1">
      <c r="A29" s="127">
        <f>'Treasurer Creator'!AC30</f>
        <v>0</v>
      </c>
      <c r="B29" s="127">
        <f ca="1" t="shared" si="0"/>
        <v>9</v>
      </c>
      <c r="C29" s="128">
        <f ca="1" t="shared" si="1"/>
        <v>26</v>
      </c>
      <c r="D29" s="128">
        <f>SUM(LOOKUP(B29,'Gem types'!$B$3:$B$55,'Gem types'!$G$3:$G$55),PRODUCT(LOOKUP(B29,'Gem types'!$B$3:$B$55,'Gem types'!$G$3:$G$55),LOOKUP(C29,'Gem types'!$I$3:$I$29,'Gem types'!$J$3:$J$29)))</f>
        <v>3</v>
      </c>
      <c r="E29" s="98">
        <f t="shared" si="4"/>
      </c>
      <c r="F29" s="213">
        <f>IF(E29="","",LOOKUP(B29,'Gem types'!B3:C55,'Gem types'!C3:C55))</f>
      </c>
      <c r="G29" s="213"/>
      <c r="H29" s="213"/>
      <c r="I29" s="213"/>
      <c r="J29" s="213"/>
      <c r="K29" s="213"/>
      <c r="L29" s="213"/>
      <c r="M29" s="213"/>
      <c r="N29" s="213"/>
      <c r="O29" s="213">
        <f>IF(E29="","",LOOKUP(B29,'Gem types'!$B$3:$C$55,'Gem types'!$D$3:$D$55))</f>
      </c>
      <c r="P29" s="213"/>
      <c r="Q29" s="213"/>
      <c r="R29" s="213"/>
      <c r="S29" s="213"/>
      <c r="T29" s="213"/>
      <c r="U29" s="213"/>
      <c r="V29" s="213"/>
      <c r="W29" s="213"/>
      <c r="X29" s="213">
        <f>IF(E29="","",LOOKUP(B29,'Gem types'!$B$3:$C$55,'Gem types'!$F$3:$F$55))</f>
      </c>
      <c r="Y29" s="213"/>
      <c r="Z29" s="213"/>
      <c r="AA29" s="213"/>
      <c r="AB29" s="213"/>
      <c r="AC29" s="213"/>
      <c r="AD29" s="213"/>
      <c r="AE29" s="213"/>
      <c r="AF29" s="215">
        <f t="shared" si="2"/>
      </c>
      <c r="AG29" s="213"/>
      <c r="AH29" s="213"/>
      <c r="AI29" s="213"/>
      <c r="AJ29" s="215">
        <f>IF(F29="","",LOOKUP(C29,'Gem types'!$I$3:$I$29,'Gem types'!$K$3:$K$29))</f>
      </c>
      <c r="AK29" s="215"/>
      <c r="AL29" s="215"/>
      <c r="AM29" s="215"/>
      <c r="AN29" s="215">
        <f>IF(F29="","",LOOKUP(C29,'Gem types'!$I$3:$I$29,'Gem types'!$L$3:$L$29))</f>
      </c>
      <c r="AO29" s="215"/>
      <c r="AP29" s="215"/>
      <c r="AQ29" s="215"/>
      <c r="AS29" s="219">
        <f t="shared" si="3"/>
      </c>
      <c r="AT29" s="219"/>
    </row>
    <row r="30" spans="1:46" s="99" customFormat="1" ht="21" customHeight="1">
      <c r="A30" s="127">
        <f>'Treasurer Creator'!AC30</f>
        <v>0</v>
      </c>
      <c r="B30" s="127">
        <f ca="1" t="shared" si="0"/>
        <v>19</v>
      </c>
      <c r="C30" s="128">
        <f ca="1" t="shared" si="1"/>
        <v>19</v>
      </c>
      <c r="D30" s="128">
        <f>SUM(LOOKUP(B30,'Gem types'!$B$3:$B$55,'Gem types'!$G$3:$G$55),PRODUCT(LOOKUP(B30,'Gem types'!$B$3:$B$55,'Gem types'!$G$3:$G$55),LOOKUP(C30,'Gem types'!$I$3:$I$29,'Gem types'!$J$3:$J$29)))</f>
        <v>300</v>
      </c>
      <c r="E30" s="98">
        <f t="shared" si="4"/>
      </c>
      <c r="F30" s="213">
        <f>IF(E30="","",LOOKUP(B30,'Gem types'!B3:C55,'Gem types'!C3:C55))</f>
      </c>
      <c r="G30" s="213"/>
      <c r="H30" s="213"/>
      <c r="I30" s="213"/>
      <c r="J30" s="213"/>
      <c r="K30" s="213"/>
      <c r="L30" s="213"/>
      <c r="M30" s="213"/>
      <c r="N30" s="213"/>
      <c r="O30" s="213">
        <f>IF(E30="","",LOOKUP(B30,'Gem types'!$B$3:$C$55,'Gem types'!$D$3:$D$55))</f>
      </c>
      <c r="P30" s="213"/>
      <c r="Q30" s="213"/>
      <c r="R30" s="213"/>
      <c r="S30" s="213"/>
      <c r="T30" s="213"/>
      <c r="U30" s="213"/>
      <c r="V30" s="213"/>
      <c r="W30" s="213"/>
      <c r="X30" s="213">
        <f>IF(E30="","",LOOKUP(B30,'Gem types'!$B$3:$C$55,'Gem types'!$F$3:$F$55))</f>
      </c>
      <c r="Y30" s="213"/>
      <c r="Z30" s="213"/>
      <c r="AA30" s="213"/>
      <c r="AB30" s="213"/>
      <c r="AC30" s="213"/>
      <c r="AD30" s="213"/>
      <c r="AE30" s="213"/>
      <c r="AF30" s="215">
        <f t="shared" si="2"/>
      </c>
      <c r="AG30" s="213"/>
      <c r="AH30" s="213"/>
      <c r="AI30" s="213"/>
      <c r="AJ30" s="215">
        <f>IF(F30="","",LOOKUP(C30,'Gem types'!$I$3:$I$29,'Gem types'!$K$3:$K$29))</f>
      </c>
      <c r="AK30" s="215"/>
      <c r="AL30" s="215"/>
      <c r="AM30" s="215"/>
      <c r="AN30" s="215">
        <f>IF(F30="","",LOOKUP(C30,'Gem types'!$I$3:$I$29,'Gem types'!$L$3:$L$29))</f>
      </c>
      <c r="AO30" s="215"/>
      <c r="AP30" s="215"/>
      <c r="AQ30" s="215"/>
      <c r="AS30" s="219">
        <f t="shared" si="3"/>
      </c>
      <c r="AT30" s="219"/>
    </row>
    <row r="31" spans="1:46" s="99" customFormat="1" ht="21" customHeight="1">
      <c r="A31" s="127">
        <f>'Treasurer Creator'!AC30</f>
        <v>0</v>
      </c>
      <c r="B31" s="127">
        <f ca="1" t="shared" si="0"/>
        <v>53</v>
      </c>
      <c r="C31" s="128">
        <f ca="1" t="shared" si="1"/>
        <v>20</v>
      </c>
      <c r="D31" s="128">
        <f>SUM(LOOKUP(B31,'Gem types'!$B$3:$B$55,'Gem types'!$G$3:$G$55),PRODUCT(LOOKUP(B31,'Gem types'!$B$3:$B$55,'Gem types'!$G$3:$G$55),LOOKUP(C31,'Gem types'!$I$3:$I$29,'Gem types'!$J$3:$J$29)))</f>
        <v>900</v>
      </c>
      <c r="E31" s="98">
        <f t="shared" si="4"/>
      </c>
      <c r="F31" s="213">
        <f>IF(E31="","",LOOKUP(B31,'Gem types'!B3:C55,'Gem types'!C3:C55))</f>
      </c>
      <c r="G31" s="213"/>
      <c r="H31" s="213"/>
      <c r="I31" s="213"/>
      <c r="J31" s="213"/>
      <c r="K31" s="213"/>
      <c r="L31" s="213"/>
      <c r="M31" s="213"/>
      <c r="N31" s="213"/>
      <c r="O31" s="213">
        <f>IF(E31="","",LOOKUP(B31,'Gem types'!$B$3:$C$55,'Gem types'!$D$3:$D$55))</f>
      </c>
      <c r="P31" s="213"/>
      <c r="Q31" s="213"/>
      <c r="R31" s="213"/>
      <c r="S31" s="213"/>
      <c r="T31" s="213"/>
      <c r="U31" s="213"/>
      <c r="V31" s="213"/>
      <c r="W31" s="213"/>
      <c r="X31" s="213">
        <f>IF(E31="","",LOOKUP(B31,'Gem types'!$B$3:$C$55,'Gem types'!$F$3:$F$55))</f>
      </c>
      <c r="Y31" s="213"/>
      <c r="Z31" s="213"/>
      <c r="AA31" s="213"/>
      <c r="AB31" s="213"/>
      <c r="AC31" s="213"/>
      <c r="AD31" s="213"/>
      <c r="AE31" s="213"/>
      <c r="AF31" s="215">
        <f t="shared" si="2"/>
      </c>
      <c r="AG31" s="213"/>
      <c r="AH31" s="213"/>
      <c r="AI31" s="213"/>
      <c r="AJ31" s="215">
        <f>IF(F31="","",LOOKUP(C31,'Gem types'!$I$3:$I$29,'Gem types'!$K$3:$K$29))</f>
      </c>
      <c r="AK31" s="215"/>
      <c r="AL31" s="215"/>
      <c r="AM31" s="215"/>
      <c r="AN31" s="215">
        <f>IF(F31="","",LOOKUP(C31,'Gem types'!$I$3:$I$29,'Gem types'!$L$3:$L$29))</f>
      </c>
      <c r="AO31" s="215"/>
      <c r="AP31" s="215"/>
      <c r="AQ31" s="215"/>
      <c r="AS31" s="219">
        <f t="shared" si="3"/>
      </c>
      <c r="AT31" s="219"/>
    </row>
    <row r="32" spans="1:46" s="99" customFormat="1" ht="21" customHeight="1">
      <c r="A32" s="127">
        <f>'Treasurer Creator'!AC30</f>
        <v>0</v>
      </c>
      <c r="B32" s="127">
        <f ca="1" t="shared" si="0"/>
        <v>11</v>
      </c>
      <c r="C32" s="128">
        <f ca="1" t="shared" si="1"/>
        <v>15</v>
      </c>
      <c r="D32" s="128">
        <f>SUM(LOOKUP(B32,'Gem types'!$B$3:$B$55,'Gem types'!$G$3:$G$55),PRODUCT(LOOKUP(B32,'Gem types'!$B$3:$B$55,'Gem types'!$G$3:$G$55),LOOKUP(C32,'Gem types'!$I$3:$I$29,'Gem types'!$J$3:$J$29)))</f>
        <v>20</v>
      </c>
      <c r="E32" s="98">
        <f t="shared" si="4"/>
      </c>
      <c r="F32" s="213">
        <f>IF(E32="","",LOOKUP(B32,'Gem types'!B3:C55,'Gem types'!C3:C55))</f>
      </c>
      <c r="G32" s="213"/>
      <c r="H32" s="213"/>
      <c r="I32" s="213"/>
      <c r="J32" s="213"/>
      <c r="K32" s="213"/>
      <c r="L32" s="213"/>
      <c r="M32" s="213"/>
      <c r="N32" s="213"/>
      <c r="O32" s="213">
        <f>IF(E32="","",LOOKUP(B32,'Gem types'!$B$3:$C$55,'Gem types'!$D$3:$D$55))</f>
      </c>
      <c r="P32" s="213"/>
      <c r="Q32" s="213"/>
      <c r="R32" s="213"/>
      <c r="S32" s="213"/>
      <c r="T32" s="213"/>
      <c r="U32" s="213"/>
      <c r="V32" s="213"/>
      <c r="W32" s="213"/>
      <c r="X32" s="213">
        <f>IF(E32="","",LOOKUP(B32,'Gem types'!$B$3:$C$55,'Gem types'!$F$3:$F$55))</f>
      </c>
      <c r="Y32" s="213"/>
      <c r="Z32" s="213"/>
      <c r="AA32" s="213"/>
      <c r="AB32" s="213"/>
      <c r="AC32" s="213"/>
      <c r="AD32" s="213"/>
      <c r="AE32" s="213"/>
      <c r="AF32" s="215">
        <f t="shared" si="2"/>
      </c>
      <c r="AG32" s="213"/>
      <c r="AH32" s="213"/>
      <c r="AI32" s="213"/>
      <c r="AJ32" s="215">
        <f>IF(F32="","",LOOKUP(C32,'Gem types'!$I$3:$I$29,'Gem types'!$K$3:$K$29))</f>
      </c>
      <c r="AK32" s="215"/>
      <c r="AL32" s="215"/>
      <c r="AM32" s="215"/>
      <c r="AN32" s="215">
        <f>IF(F32="","",LOOKUP(C32,'Gem types'!$I$3:$I$29,'Gem types'!$L$3:$L$29))</f>
      </c>
      <c r="AO32" s="215"/>
      <c r="AP32" s="215"/>
      <c r="AQ32" s="215"/>
      <c r="AS32" s="219">
        <f t="shared" si="3"/>
      </c>
      <c r="AT32" s="219"/>
    </row>
    <row r="33" spans="1:46" s="99" customFormat="1" ht="21" customHeight="1">
      <c r="A33" s="127">
        <f>'Treasurer Creator'!AC30</f>
        <v>0</v>
      </c>
      <c r="B33" s="127">
        <f ca="1" t="shared" si="0"/>
        <v>8</v>
      </c>
      <c r="C33" s="128">
        <f ca="1" t="shared" si="1"/>
        <v>10</v>
      </c>
      <c r="D33" s="128">
        <f>SUM(LOOKUP(B33,'Gem types'!$B$3:$B$55,'Gem types'!$G$3:$G$55),PRODUCT(LOOKUP(B33,'Gem types'!$B$3:$B$55,'Gem types'!$G$3:$G$55),LOOKUP(C33,'Gem types'!$I$3:$I$29,'Gem types'!$J$3:$J$29)))</f>
        <v>12</v>
      </c>
      <c r="E33" s="98">
        <f t="shared" si="4"/>
      </c>
      <c r="F33" s="213">
        <f>IF(E33="","",LOOKUP(B33,'Gem types'!B3:C55,'Gem types'!C3:C55))</f>
      </c>
      <c r="G33" s="213"/>
      <c r="H33" s="213"/>
      <c r="I33" s="213"/>
      <c r="J33" s="213"/>
      <c r="K33" s="213"/>
      <c r="L33" s="213"/>
      <c r="M33" s="213"/>
      <c r="N33" s="213"/>
      <c r="O33" s="213">
        <f>IF(E33="","",LOOKUP(B33,'Gem types'!$B$3:$C$55,'Gem types'!$D$3:$D$55))</f>
      </c>
      <c r="P33" s="213"/>
      <c r="Q33" s="213"/>
      <c r="R33" s="213"/>
      <c r="S33" s="213"/>
      <c r="T33" s="213"/>
      <c r="U33" s="213"/>
      <c r="V33" s="213"/>
      <c r="W33" s="213"/>
      <c r="X33" s="213">
        <f>IF(E33="","",LOOKUP(B33,'Gem types'!$B$3:$C$55,'Gem types'!$F$3:$F$55))</f>
      </c>
      <c r="Y33" s="213"/>
      <c r="Z33" s="213"/>
      <c r="AA33" s="213"/>
      <c r="AB33" s="213"/>
      <c r="AC33" s="213"/>
      <c r="AD33" s="213"/>
      <c r="AE33" s="213"/>
      <c r="AF33" s="215">
        <f t="shared" si="2"/>
      </c>
      <c r="AG33" s="213"/>
      <c r="AH33" s="213"/>
      <c r="AI33" s="213"/>
      <c r="AJ33" s="215">
        <f>IF(F33="","",LOOKUP(C33,'Gem types'!$I$3:$I$29,'Gem types'!$K$3:$K$29))</f>
      </c>
      <c r="AK33" s="215"/>
      <c r="AL33" s="215"/>
      <c r="AM33" s="215"/>
      <c r="AN33" s="215">
        <f>IF(F33="","",LOOKUP(C33,'Gem types'!$I$3:$I$29,'Gem types'!$L$3:$L$29))</f>
      </c>
      <c r="AO33" s="215"/>
      <c r="AP33" s="215"/>
      <c r="AQ33" s="215"/>
      <c r="AS33" s="219">
        <f t="shared" si="3"/>
      </c>
      <c r="AT33" s="219"/>
    </row>
    <row r="34" spans="1:46" s="99" customFormat="1" ht="21" customHeight="1">
      <c r="A34" s="127">
        <f>'Treasurer Creator'!AC30</f>
        <v>0</v>
      </c>
      <c r="B34" s="127">
        <f ca="1" t="shared" si="0"/>
        <v>21</v>
      </c>
      <c r="C34" s="128">
        <f ca="1" t="shared" si="1"/>
        <v>2</v>
      </c>
      <c r="D34" s="128">
        <f>SUM(LOOKUP(B34,'Gem types'!$B$3:$B$55,'Gem types'!$G$3:$G$55),PRODUCT(LOOKUP(B34,'Gem types'!$B$3:$B$55,'Gem types'!$G$3:$G$55),LOOKUP(C34,'Gem types'!$I$3:$I$29,'Gem types'!$J$3:$J$29)))</f>
        <v>550</v>
      </c>
      <c r="E34" s="98">
        <f t="shared" si="4"/>
      </c>
      <c r="F34" s="213">
        <f>IF(E34="","",LOOKUP(B34,'Gem types'!B3:C55,'Gem types'!C3:C55))</f>
      </c>
      <c r="G34" s="213"/>
      <c r="H34" s="213"/>
      <c r="I34" s="213"/>
      <c r="J34" s="213"/>
      <c r="K34" s="213"/>
      <c r="L34" s="213"/>
      <c r="M34" s="213"/>
      <c r="N34" s="213"/>
      <c r="O34" s="213">
        <f>IF(E34="","",LOOKUP(B34,'Gem types'!$B$3:$C$55,'Gem types'!$D$3:$D$55))</f>
      </c>
      <c r="P34" s="213"/>
      <c r="Q34" s="213"/>
      <c r="R34" s="213"/>
      <c r="S34" s="213"/>
      <c r="T34" s="213"/>
      <c r="U34" s="213"/>
      <c r="V34" s="213"/>
      <c r="W34" s="213"/>
      <c r="X34" s="213">
        <f>IF(E34="","",LOOKUP(B34,'Gem types'!$B$3:$C$55,'Gem types'!$F$3:$F$55))</f>
      </c>
      <c r="Y34" s="213"/>
      <c r="Z34" s="213"/>
      <c r="AA34" s="213"/>
      <c r="AB34" s="213"/>
      <c r="AC34" s="213"/>
      <c r="AD34" s="213"/>
      <c r="AE34" s="213"/>
      <c r="AF34" s="215">
        <f t="shared" si="2"/>
      </c>
      <c r="AG34" s="213"/>
      <c r="AH34" s="213"/>
      <c r="AI34" s="213"/>
      <c r="AJ34" s="215">
        <f>IF(F34="","",LOOKUP(C34,'Gem types'!$I$3:$I$29,'Gem types'!$K$3:$K$29))</f>
      </c>
      <c r="AK34" s="215"/>
      <c r="AL34" s="215"/>
      <c r="AM34" s="215"/>
      <c r="AN34" s="215">
        <f>IF(F34="","",LOOKUP(C34,'Gem types'!$I$3:$I$29,'Gem types'!$L$3:$L$29))</f>
      </c>
      <c r="AO34" s="215"/>
      <c r="AP34" s="215"/>
      <c r="AQ34" s="215"/>
      <c r="AS34" s="219">
        <f t="shared" si="3"/>
      </c>
      <c r="AT34" s="219"/>
    </row>
    <row r="35" spans="1:46" s="99" customFormat="1" ht="21" customHeight="1">
      <c r="A35" s="127">
        <f>'Treasurer Creator'!AC30</f>
        <v>0</v>
      </c>
      <c r="B35" s="127">
        <f ca="1" t="shared" si="0"/>
        <v>29</v>
      </c>
      <c r="C35" s="128">
        <f ca="1" t="shared" si="1"/>
        <v>26</v>
      </c>
      <c r="D35" s="128">
        <f>SUM(LOOKUP(B35,'Gem types'!$B$3:$B$55,'Gem types'!$G$3:$G$55),PRODUCT(LOOKUP(B35,'Gem types'!$B$3:$B$55,'Gem types'!$G$3:$G$55),LOOKUP(C35,'Gem types'!$I$3:$I$29,'Gem types'!$J$3:$J$29)))</f>
        <v>75</v>
      </c>
      <c r="E35" s="98">
        <f t="shared" si="4"/>
      </c>
      <c r="F35" s="213">
        <f>IF(E35="","",LOOKUP(B35,'Gem types'!B3:C55,'Gem types'!C3:C55))</f>
      </c>
      <c r="G35" s="213"/>
      <c r="H35" s="213"/>
      <c r="I35" s="213"/>
      <c r="J35" s="213"/>
      <c r="K35" s="213"/>
      <c r="L35" s="213"/>
      <c r="M35" s="213"/>
      <c r="N35" s="213"/>
      <c r="O35" s="213">
        <f>IF(E35="","",LOOKUP(B35,'Gem types'!$B$3:$C$55,'Gem types'!$D$3:$D$55))</f>
      </c>
      <c r="P35" s="213"/>
      <c r="Q35" s="213"/>
      <c r="R35" s="213"/>
      <c r="S35" s="213"/>
      <c r="T35" s="213"/>
      <c r="U35" s="213"/>
      <c r="V35" s="213"/>
      <c r="W35" s="213"/>
      <c r="X35" s="213">
        <f>IF(E35="","",LOOKUP(B35,'Gem types'!$B$3:$C$55,'Gem types'!$F$3:$F$55))</f>
      </c>
      <c r="Y35" s="213"/>
      <c r="Z35" s="213"/>
      <c r="AA35" s="213"/>
      <c r="AB35" s="213"/>
      <c r="AC35" s="213"/>
      <c r="AD35" s="213"/>
      <c r="AE35" s="213"/>
      <c r="AF35" s="215">
        <f t="shared" si="2"/>
      </c>
      <c r="AG35" s="213"/>
      <c r="AH35" s="213"/>
      <c r="AI35" s="213"/>
      <c r="AJ35" s="215">
        <f>IF(F35="","",LOOKUP(C35,'Gem types'!$I$3:$I$29,'Gem types'!$K$3:$K$29))</f>
      </c>
      <c r="AK35" s="215"/>
      <c r="AL35" s="215"/>
      <c r="AM35" s="215"/>
      <c r="AN35" s="215">
        <f>IF(F35="","",LOOKUP(C35,'Gem types'!$I$3:$I$29,'Gem types'!$L$3:$L$29))</f>
      </c>
      <c r="AO35" s="215"/>
      <c r="AP35" s="215"/>
      <c r="AQ35" s="215"/>
      <c r="AS35" s="219">
        <f t="shared" si="3"/>
      </c>
      <c r="AT35" s="219"/>
    </row>
    <row r="36" spans="1:46" s="99" customFormat="1" ht="21" customHeight="1">
      <c r="A36" s="127">
        <f>'Treasurer Creator'!AC30</f>
        <v>0</v>
      </c>
      <c r="B36" s="127">
        <f aca="true" ca="1" t="shared" si="5" ref="B36:B67">RANDBETWEEN(1,53)</f>
        <v>6</v>
      </c>
      <c r="C36" s="128">
        <f aca="true" ca="1" t="shared" si="6" ref="C36:C67">RANDBETWEEN(1,27)</f>
        <v>1</v>
      </c>
      <c r="D36" s="128">
        <f>SUM(LOOKUP(B36,'Gem types'!$B$3:$B$55,'Gem types'!$G$3:$G$55),PRODUCT(LOOKUP(B36,'Gem types'!$B$3:$B$55,'Gem types'!$G$3:$G$55),LOOKUP(C36,'Gem types'!$I$3:$I$29,'Gem types'!$J$3:$J$29)))</f>
        <v>210</v>
      </c>
      <c r="E36" s="98">
        <f t="shared" si="4"/>
      </c>
      <c r="F36" s="213">
        <f>IF(E36="","",LOOKUP(B36,'Gem types'!B3:C55,'Gem types'!C3:C55))</f>
      </c>
      <c r="G36" s="213"/>
      <c r="H36" s="213"/>
      <c r="I36" s="213"/>
      <c r="J36" s="213"/>
      <c r="K36" s="213"/>
      <c r="L36" s="213"/>
      <c r="M36" s="213"/>
      <c r="N36" s="213"/>
      <c r="O36" s="213">
        <f>IF(E36="","",LOOKUP(B36,'Gem types'!$B$3:$C$55,'Gem types'!$D$3:$D$55))</f>
      </c>
      <c r="P36" s="213"/>
      <c r="Q36" s="213"/>
      <c r="R36" s="213"/>
      <c r="S36" s="213"/>
      <c r="T36" s="213"/>
      <c r="U36" s="213"/>
      <c r="V36" s="213"/>
      <c r="W36" s="213"/>
      <c r="X36" s="213">
        <f>IF(E36="","",LOOKUP(B36,'Gem types'!$B$3:$C$55,'Gem types'!$F$3:$F$55))</f>
      </c>
      <c r="Y36" s="213"/>
      <c r="Z36" s="213"/>
      <c r="AA36" s="213"/>
      <c r="AB36" s="213"/>
      <c r="AC36" s="213"/>
      <c r="AD36" s="213"/>
      <c r="AE36" s="213"/>
      <c r="AF36" s="215">
        <f t="shared" si="2"/>
      </c>
      <c r="AG36" s="213"/>
      <c r="AH36" s="213"/>
      <c r="AI36" s="213"/>
      <c r="AJ36" s="215">
        <f>IF(F36="","",LOOKUP(C36,'Gem types'!$I$3:$I$29,'Gem types'!$K$3:$K$29))</f>
      </c>
      <c r="AK36" s="215"/>
      <c r="AL36" s="215"/>
      <c r="AM36" s="215"/>
      <c r="AN36" s="215">
        <f>IF(F36="","",LOOKUP(C36,'Gem types'!$I$3:$I$29,'Gem types'!$L$3:$L$29))</f>
      </c>
      <c r="AO36" s="215"/>
      <c r="AP36" s="215"/>
      <c r="AQ36" s="215"/>
      <c r="AS36" s="219">
        <f aca="true" t="shared" si="7" ref="AS36:AS67">IF(E36="","",ROUNDUP(D36,0))</f>
      </c>
      <c r="AT36" s="219"/>
    </row>
    <row r="37" spans="1:46" s="99" customFormat="1" ht="21" customHeight="1">
      <c r="A37" s="127">
        <f>'Treasurer Creator'!AC30</f>
        <v>0</v>
      </c>
      <c r="B37" s="127">
        <f ca="1" t="shared" si="5"/>
        <v>37</v>
      </c>
      <c r="C37" s="128">
        <f ca="1" t="shared" si="6"/>
        <v>10</v>
      </c>
      <c r="D37" s="128">
        <f>SUM(LOOKUP(B37,'Gem types'!$B$3:$B$55,'Gem types'!$G$3:$G$55),PRODUCT(LOOKUP(B37,'Gem types'!$B$3:$B$55,'Gem types'!$G$3:$G$55),LOOKUP(C37,'Gem types'!$I$3:$I$29,'Gem types'!$J$3:$J$29)))</f>
        <v>300</v>
      </c>
      <c r="E37" s="98">
        <f aca="true" t="shared" si="8" ref="E37:E68">IF(A37&gt;E36,SUM(E36+1),"")</f>
      </c>
      <c r="F37" s="213">
        <f>IF(E37="","",LOOKUP(B37,'Gem types'!B3:C55,'Gem types'!C3:C55))</f>
      </c>
      <c r="G37" s="213"/>
      <c r="H37" s="213"/>
      <c r="I37" s="213"/>
      <c r="J37" s="213"/>
      <c r="K37" s="213"/>
      <c r="L37" s="213"/>
      <c r="M37" s="213"/>
      <c r="N37" s="213"/>
      <c r="O37" s="213">
        <f>IF(E37="","",LOOKUP(B37,'Gem types'!$B$3:$C$55,'Gem types'!$D$3:$D$55))</f>
      </c>
      <c r="P37" s="213"/>
      <c r="Q37" s="213"/>
      <c r="R37" s="213"/>
      <c r="S37" s="213"/>
      <c r="T37" s="213"/>
      <c r="U37" s="213"/>
      <c r="V37" s="213"/>
      <c r="W37" s="213"/>
      <c r="X37" s="213">
        <f>IF(E37="","",LOOKUP(B37,'Gem types'!$B$3:$C$55,'Gem types'!$F$3:$F$55))</f>
      </c>
      <c r="Y37" s="213"/>
      <c r="Z37" s="213"/>
      <c r="AA37" s="213"/>
      <c r="AB37" s="213"/>
      <c r="AC37" s="213"/>
      <c r="AD37" s="213"/>
      <c r="AE37" s="213"/>
      <c r="AF37" s="215">
        <f t="shared" si="2"/>
      </c>
      <c r="AG37" s="213"/>
      <c r="AH37" s="213"/>
      <c r="AI37" s="213"/>
      <c r="AJ37" s="215">
        <f>IF(F37="","",LOOKUP(C37,'Gem types'!$I$3:$I$29,'Gem types'!$K$3:$K$29))</f>
      </c>
      <c r="AK37" s="215"/>
      <c r="AL37" s="215"/>
      <c r="AM37" s="215"/>
      <c r="AN37" s="215">
        <f>IF(F37="","",LOOKUP(C37,'Gem types'!$I$3:$I$29,'Gem types'!$L$3:$L$29))</f>
      </c>
      <c r="AO37" s="215"/>
      <c r="AP37" s="215"/>
      <c r="AQ37" s="215"/>
      <c r="AS37" s="219">
        <f t="shared" si="7"/>
      </c>
      <c r="AT37" s="219"/>
    </row>
    <row r="38" spans="1:46" s="99" customFormat="1" ht="21" customHeight="1">
      <c r="A38" s="127">
        <f>'Treasurer Creator'!AC30</f>
        <v>0</v>
      </c>
      <c r="B38" s="127">
        <f ca="1" t="shared" si="5"/>
        <v>43</v>
      </c>
      <c r="C38" s="128">
        <f ca="1" t="shared" si="6"/>
        <v>16</v>
      </c>
      <c r="D38" s="128">
        <f>SUM(LOOKUP(B38,'Gem types'!$B$3:$B$55,'Gem types'!$G$3:$G$55),PRODUCT(LOOKUP(B38,'Gem types'!$B$3:$B$55,'Gem types'!$G$3:$G$55),LOOKUP(C38,'Gem types'!$I$3:$I$29,'Gem types'!$J$3:$J$29)))</f>
        <v>3000</v>
      </c>
      <c r="E38" s="98">
        <f t="shared" si="8"/>
      </c>
      <c r="F38" s="213">
        <f>IF(E38="","",LOOKUP(B38,'Gem types'!B3:C55,'Gem types'!C3:C55))</f>
      </c>
      <c r="G38" s="213"/>
      <c r="H38" s="213"/>
      <c r="I38" s="213"/>
      <c r="J38" s="213"/>
      <c r="K38" s="213"/>
      <c r="L38" s="213"/>
      <c r="M38" s="213"/>
      <c r="N38" s="213"/>
      <c r="O38" s="213">
        <f>IF(E38="","",LOOKUP(B38,'Gem types'!$B$3:$C$55,'Gem types'!$D$3:$D$55))</f>
      </c>
      <c r="P38" s="213"/>
      <c r="Q38" s="213"/>
      <c r="R38" s="213"/>
      <c r="S38" s="213"/>
      <c r="T38" s="213"/>
      <c r="U38" s="213"/>
      <c r="V38" s="213"/>
      <c r="W38" s="213"/>
      <c r="X38" s="213">
        <f>IF(E38="","",LOOKUP(B38,'Gem types'!$B$3:$C$55,'Gem types'!$F$3:$F$55))</f>
      </c>
      <c r="Y38" s="213"/>
      <c r="Z38" s="213"/>
      <c r="AA38" s="213"/>
      <c r="AB38" s="213"/>
      <c r="AC38" s="213"/>
      <c r="AD38" s="213"/>
      <c r="AE38" s="213"/>
      <c r="AF38" s="215">
        <f t="shared" si="2"/>
      </c>
      <c r="AG38" s="213"/>
      <c r="AH38" s="213"/>
      <c r="AI38" s="213"/>
      <c r="AJ38" s="215">
        <f>IF(F38="","",LOOKUP(C38,'Gem types'!$I$3:$I$29,'Gem types'!$K$3:$K$29))</f>
      </c>
      <c r="AK38" s="215"/>
      <c r="AL38" s="215"/>
      <c r="AM38" s="215"/>
      <c r="AN38" s="215">
        <f>IF(F38="","",LOOKUP(C38,'Gem types'!$I$3:$I$29,'Gem types'!$L$3:$L$29))</f>
      </c>
      <c r="AO38" s="215"/>
      <c r="AP38" s="215"/>
      <c r="AQ38" s="215"/>
      <c r="AS38" s="219">
        <f t="shared" si="7"/>
      </c>
      <c r="AT38" s="219"/>
    </row>
    <row r="39" spans="1:46" s="99" customFormat="1" ht="21" customHeight="1">
      <c r="A39" s="127">
        <f>'Treasurer Creator'!AC30</f>
        <v>0</v>
      </c>
      <c r="B39" s="127">
        <f ca="1" t="shared" si="5"/>
        <v>30</v>
      </c>
      <c r="C39" s="128">
        <f ca="1" t="shared" si="6"/>
        <v>4</v>
      </c>
      <c r="D39" s="128">
        <f>SUM(LOOKUP(B39,'Gem types'!$B$3:$B$55,'Gem types'!$G$3:$G$55),PRODUCT(LOOKUP(B39,'Gem types'!$B$3:$B$55,'Gem types'!$G$3:$G$55),LOOKUP(C39,'Gem types'!$I$3:$I$29,'Gem types'!$J$3:$J$29)))</f>
        <v>300</v>
      </c>
      <c r="E39" s="98">
        <f t="shared" si="8"/>
      </c>
      <c r="F39" s="213">
        <f>IF(E39="","",LOOKUP(B39,'Gem types'!B3:C55,'Gem types'!C3:C55))</f>
      </c>
      <c r="G39" s="213"/>
      <c r="H39" s="213"/>
      <c r="I39" s="213"/>
      <c r="J39" s="213"/>
      <c r="K39" s="213"/>
      <c r="L39" s="213"/>
      <c r="M39" s="213"/>
      <c r="N39" s="213"/>
      <c r="O39" s="213">
        <f>IF(E39="","",LOOKUP(B39,'Gem types'!$B$3:$C$55,'Gem types'!$D$3:$D$55))</f>
      </c>
      <c r="P39" s="213"/>
      <c r="Q39" s="213"/>
      <c r="R39" s="213"/>
      <c r="S39" s="213"/>
      <c r="T39" s="213"/>
      <c r="U39" s="213"/>
      <c r="V39" s="213"/>
      <c r="W39" s="213"/>
      <c r="X39" s="213">
        <f>IF(E39="","",LOOKUP(B39,'Gem types'!$B$3:$C$55,'Gem types'!$F$3:$F$55))</f>
      </c>
      <c r="Y39" s="213"/>
      <c r="Z39" s="213"/>
      <c r="AA39" s="213"/>
      <c r="AB39" s="213"/>
      <c r="AC39" s="213"/>
      <c r="AD39" s="213"/>
      <c r="AE39" s="213"/>
      <c r="AF39" s="215">
        <f t="shared" si="2"/>
      </c>
      <c r="AG39" s="213"/>
      <c r="AH39" s="213"/>
      <c r="AI39" s="213"/>
      <c r="AJ39" s="215">
        <f>IF(F39="","",LOOKUP(C39,'Gem types'!$I$3:$I$29,'Gem types'!$K$3:$K$29))</f>
      </c>
      <c r="AK39" s="215"/>
      <c r="AL39" s="215"/>
      <c r="AM39" s="215"/>
      <c r="AN39" s="215">
        <f>IF(F39="","",LOOKUP(C39,'Gem types'!$I$3:$I$29,'Gem types'!$L$3:$L$29))</f>
      </c>
      <c r="AO39" s="215"/>
      <c r="AP39" s="215"/>
      <c r="AQ39" s="215"/>
      <c r="AS39" s="219">
        <f t="shared" si="7"/>
      </c>
      <c r="AT39" s="219"/>
    </row>
    <row r="40" spans="1:46" s="99" customFormat="1" ht="21" customHeight="1">
      <c r="A40" s="127">
        <f>'Treasurer Creator'!AC30</f>
        <v>0</v>
      </c>
      <c r="B40" s="127">
        <f ca="1" t="shared" si="5"/>
        <v>38</v>
      </c>
      <c r="C40" s="128">
        <f ca="1" t="shared" si="6"/>
        <v>13</v>
      </c>
      <c r="D40" s="128">
        <f>SUM(LOOKUP(B40,'Gem types'!$B$3:$B$55,'Gem types'!$G$3:$G$55),PRODUCT(LOOKUP(B40,'Gem types'!$B$3:$B$55,'Gem types'!$G$3:$G$55),LOOKUP(C40,'Gem types'!$I$3:$I$29,'Gem types'!$J$3:$J$29)))</f>
        <v>750</v>
      </c>
      <c r="E40" s="98">
        <f t="shared" si="8"/>
      </c>
      <c r="F40" s="213">
        <f>IF(E40="","",LOOKUP(B40,'Gem types'!B3:C55,'Gem types'!C3:C55))</f>
      </c>
      <c r="G40" s="213"/>
      <c r="H40" s="213"/>
      <c r="I40" s="213"/>
      <c r="J40" s="213"/>
      <c r="K40" s="213"/>
      <c r="L40" s="213"/>
      <c r="M40" s="213"/>
      <c r="N40" s="213"/>
      <c r="O40" s="213">
        <f>IF(E40="","",LOOKUP(B40,'Gem types'!$B$3:$C$55,'Gem types'!$D$3:$D$55))</f>
      </c>
      <c r="P40" s="213"/>
      <c r="Q40" s="213"/>
      <c r="R40" s="213"/>
      <c r="S40" s="213"/>
      <c r="T40" s="213"/>
      <c r="U40" s="213"/>
      <c r="V40" s="213"/>
      <c r="W40" s="213"/>
      <c r="X40" s="213">
        <f>IF(E40="","",LOOKUP(B40,'Gem types'!$B$3:$C$55,'Gem types'!$F$3:$F$55))</f>
      </c>
      <c r="Y40" s="213"/>
      <c r="Z40" s="213"/>
      <c r="AA40" s="213"/>
      <c r="AB40" s="213"/>
      <c r="AC40" s="213"/>
      <c r="AD40" s="213"/>
      <c r="AE40" s="213"/>
      <c r="AF40" s="215">
        <f t="shared" si="2"/>
      </c>
      <c r="AG40" s="213"/>
      <c r="AH40" s="213"/>
      <c r="AI40" s="213"/>
      <c r="AJ40" s="215">
        <f>IF(F40="","",LOOKUP(C40,'Gem types'!$I$3:$I$29,'Gem types'!$K$3:$K$29))</f>
      </c>
      <c r="AK40" s="215"/>
      <c r="AL40" s="215"/>
      <c r="AM40" s="215"/>
      <c r="AN40" s="215">
        <f>IF(F40="","",LOOKUP(C40,'Gem types'!$I$3:$I$29,'Gem types'!$L$3:$L$29))</f>
      </c>
      <c r="AO40" s="215"/>
      <c r="AP40" s="215"/>
      <c r="AQ40" s="215"/>
      <c r="AS40" s="219">
        <f t="shared" si="7"/>
      </c>
      <c r="AT40" s="219"/>
    </row>
    <row r="41" spans="1:46" s="99" customFormat="1" ht="21" customHeight="1">
      <c r="A41" s="127">
        <f>'Treasurer Creator'!AC30</f>
        <v>0</v>
      </c>
      <c r="B41" s="127">
        <f ca="1" t="shared" si="5"/>
        <v>6</v>
      </c>
      <c r="C41" s="128">
        <f ca="1" t="shared" si="6"/>
        <v>24</v>
      </c>
      <c r="D41" s="128">
        <f>SUM(LOOKUP(B41,'Gem types'!$B$3:$B$55,'Gem types'!$G$3:$G$55),PRODUCT(LOOKUP(B41,'Gem types'!$B$3:$B$55,'Gem types'!$G$3:$G$55),LOOKUP(C41,'Gem types'!$I$3:$I$29,'Gem types'!$J$3:$J$29)))</f>
        <v>5</v>
      </c>
      <c r="E41" s="98">
        <f t="shared" si="8"/>
      </c>
      <c r="F41" s="213">
        <f>IF(E41="","",LOOKUP(B41,'Gem types'!B3:C55,'Gem types'!C3:C55))</f>
      </c>
      <c r="G41" s="213"/>
      <c r="H41" s="213"/>
      <c r="I41" s="213"/>
      <c r="J41" s="213"/>
      <c r="K41" s="213"/>
      <c r="L41" s="213"/>
      <c r="M41" s="213"/>
      <c r="N41" s="213"/>
      <c r="O41" s="213">
        <f>IF(E41="","",LOOKUP(B41,'Gem types'!$B$3:$C$55,'Gem types'!$D$3:$D$55))</f>
      </c>
      <c r="P41" s="213"/>
      <c r="Q41" s="213"/>
      <c r="R41" s="213"/>
      <c r="S41" s="213"/>
      <c r="T41" s="213"/>
      <c r="U41" s="213"/>
      <c r="V41" s="213"/>
      <c r="W41" s="213"/>
      <c r="X41" s="213">
        <f>IF(E41="","",LOOKUP(B41,'Gem types'!$B$3:$C$55,'Gem types'!$F$3:$F$55))</f>
      </c>
      <c r="Y41" s="213"/>
      <c r="Z41" s="213"/>
      <c r="AA41" s="213"/>
      <c r="AB41" s="213"/>
      <c r="AC41" s="213"/>
      <c r="AD41" s="213"/>
      <c r="AE41" s="213"/>
      <c r="AF41" s="215">
        <f t="shared" si="2"/>
      </c>
      <c r="AG41" s="213"/>
      <c r="AH41" s="213"/>
      <c r="AI41" s="213"/>
      <c r="AJ41" s="215">
        <f>IF(F41="","",LOOKUP(C41,'Gem types'!$I$3:$I$29,'Gem types'!$K$3:$K$29))</f>
      </c>
      <c r="AK41" s="215"/>
      <c r="AL41" s="215"/>
      <c r="AM41" s="215"/>
      <c r="AN41" s="215">
        <f>IF(F41="","",LOOKUP(C41,'Gem types'!$I$3:$I$29,'Gem types'!$L$3:$L$29))</f>
      </c>
      <c r="AO41" s="215"/>
      <c r="AP41" s="215"/>
      <c r="AQ41" s="215"/>
      <c r="AS41" s="219">
        <f t="shared" si="7"/>
      </c>
      <c r="AT41" s="219"/>
    </row>
    <row r="42" spans="1:46" s="99" customFormat="1" ht="21" customHeight="1">
      <c r="A42" s="127">
        <f>'Treasurer Creator'!AC30</f>
        <v>0</v>
      </c>
      <c r="B42" s="127">
        <f ca="1" t="shared" si="5"/>
        <v>5</v>
      </c>
      <c r="C42" s="128">
        <f ca="1" t="shared" si="6"/>
        <v>16</v>
      </c>
      <c r="D42" s="128">
        <f>SUM(LOOKUP(B42,'Gem types'!$B$3:$B$55,'Gem types'!$G$3:$G$55),PRODUCT(LOOKUP(B42,'Gem types'!$B$3:$B$55,'Gem types'!$G$3:$G$55),LOOKUP(C42,'Gem types'!$I$3:$I$29,'Gem types'!$J$3:$J$29)))</f>
        <v>30</v>
      </c>
      <c r="E42" s="98">
        <f t="shared" si="8"/>
      </c>
      <c r="F42" s="213">
        <f>IF(E42="","",LOOKUP(B42,'Gem types'!B3:C55,'Gem types'!C3:C55))</f>
      </c>
      <c r="G42" s="213"/>
      <c r="H42" s="213"/>
      <c r="I42" s="213"/>
      <c r="J42" s="213"/>
      <c r="K42" s="213"/>
      <c r="L42" s="213"/>
      <c r="M42" s="213"/>
      <c r="N42" s="213"/>
      <c r="O42" s="213">
        <f>IF(E42="","",LOOKUP(B42,'Gem types'!$B$3:$C$55,'Gem types'!$D$3:$D$55))</f>
      </c>
      <c r="P42" s="213"/>
      <c r="Q42" s="213"/>
      <c r="R42" s="213"/>
      <c r="S42" s="213"/>
      <c r="T42" s="213"/>
      <c r="U42" s="213"/>
      <c r="V42" s="213"/>
      <c r="W42" s="213"/>
      <c r="X42" s="213">
        <f>IF(E42="","",LOOKUP(B42,'Gem types'!$B$3:$C$55,'Gem types'!$F$3:$F$55))</f>
      </c>
      <c r="Y42" s="213"/>
      <c r="Z42" s="213"/>
      <c r="AA42" s="213"/>
      <c r="AB42" s="213"/>
      <c r="AC42" s="213"/>
      <c r="AD42" s="213"/>
      <c r="AE42" s="213"/>
      <c r="AF42" s="215">
        <f t="shared" si="2"/>
      </c>
      <c r="AG42" s="213"/>
      <c r="AH42" s="213"/>
      <c r="AI42" s="213"/>
      <c r="AJ42" s="215">
        <f>IF(F42="","",LOOKUP(C42,'Gem types'!$I$3:$I$29,'Gem types'!$K$3:$K$29))</f>
      </c>
      <c r="AK42" s="215"/>
      <c r="AL42" s="215"/>
      <c r="AM42" s="215"/>
      <c r="AN42" s="215">
        <f>IF(F42="","",LOOKUP(C42,'Gem types'!$I$3:$I$29,'Gem types'!$L$3:$L$29))</f>
      </c>
      <c r="AO42" s="215"/>
      <c r="AP42" s="215"/>
      <c r="AQ42" s="215"/>
      <c r="AS42" s="219">
        <f t="shared" si="7"/>
      </c>
      <c r="AT42" s="219"/>
    </row>
    <row r="43" spans="1:46" s="99" customFormat="1" ht="21" customHeight="1">
      <c r="A43" s="127">
        <f>'Treasurer Creator'!AC30</f>
        <v>0</v>
      </c>
      <c r="B43" s="127">
        <f ca="1" t="shared" si="5"/>
        <v>7</v>
      </c>
      <c r="C43" s="128">
        <f ca="1" t="shared" si="6"/>
        <v>4</v>
      </c>
      <c r="D43" s="128">
        <f>SUM(LOOKUP(B43,'Gem types'!$B$3:$B$55,'Gem types'!$G$3:$G$55),PRODUCT(LOOKUP(B43,'Gem types'!$B$3:$B$55,'Gem types'!$G$3:$G$55),LOOKUP(C43,'Gem types'!$I$3:$I$29,'Gem types'!$J$3:$J$29)))</f>
        <v>30</v>
      </c>
      <c r="E43" s="98">
        <f t="shared" si="8"/>
      </c>
      <c r="F43" s="213">
        <f>IF(E43="","",LOOKUP(B43,'Gem types'!B3:C55,'Gem types'!C3:C55))</f>
      </c>
      <c r="G43" s="213"/>
      <c r="H43" s="213"/>
      <c r="I43" s="213"/>
      <c r="J43" s="213"/>
      <c r="K43" s="213"/>
      <c r="L43" s="213"/>
      <c r="M43" s="213"/>
      <c r="N43" s="213"/>
      <c r="O43" s="213">
        <f>IF(E43="","",LOOKUP(B43,'Gem types'!$B$3:$C$55,'Gem types'!$D$3:$D$55))</f>
      </c>
      <c r="P43" s="213"/>
      <c r="Q43" s="213"/>
      <c r="R43" s="213"/>
      <c r="S43" s="213"/>
      <c r="T43" s="213"/>
      <c r="U43" s="213"/>
      <c r="V43" s="213"/>
      <c r="W43" s="213"/>
      <c r="X43" s="213">
        <f>IF(E43="","",LOOKUP(B43,'Gem types'!$B$3:$C$55,'Gem types'!$F$3:$F$55))</f>
      </c>
      <c r="Y43" s="213"/>
      <c r="Z43" s="213"/>
      <c r="AA43" s="213"/>
      <c r="AB43" s="213"/>
      <c r="AC43" s="213"/>
      <c r="AD43" s="213"/>
      <c r="AE43" s="213"/>
      <c r="AF43" s="215">
        <f t="shared" si="2"/>
      </c>
      <c r="AG43" s="213"/>
      <c r="AH43" s="213"/>
      <c r="AI43" s="213"/>
      <c r="AJ43" s="215">
        <f>IF(F43="","",LOOKUP(C43,'Gem types'!$I$3:$I$29,'Gem types'!$K$3:$K$29))</f>
      </c>
      <c r="AK43" s="215"/>
      <c r="AL43" s="215"/>
      <c r="AM43" s="215"/>
      <c r="AN43" s="215">
        <f>IF(F43="","",LOOKUP(C43,'Gem types'!$I$3:$I$29,'Gem types'!$L$3:$L$29))</f>
      </c>
      <c r="AO43" s="215"/>
      <c r="AP43" s="215"/>
      <c r="AQ43" s="215"/>
      <c r="AS43" s="219">
        <f t="shared" si="7"/>
      </c>
      <c r="AT43" s="219"/>
    </row>
    <row r="44" spans="1:46" s="99" customFormat="1" ht="21" customHeight="1">
      <c r="A44" s="127">
        <f>'Treasurer Creator'!AC30</f>
        <v>0</v>
      </c>
      <c r="B44" s="127">
        <f ca="1" t="shared" si="5"/>
        <v>27</v>
      </c>
      <c r="C44" s="128">
        <f ca="1" t="shared" si="6"/>
        <v>13</v>
      </c>
      <c r="D44" s="128">
        <f>SUM(LOOKUP(B44,'Gem types'!$B$3:$B$55,'Gem types'!$G$3:$G$55),PRODUCT(LOOKUP(B44,'Gem types'!$B$3:$B$55,'Gem types'!$G$3:$G$55),LOOKUP(C44,'Gem types'!$I$3:$I$29,'Gem types'!$J$3:$J$29)))</f>
        <v>150</v>
      </c>
      <c r="E44" s="98">
        <f t="shared" si="8"/>
      </c>
      <c r="F44" s="213">
        <f>IF(E44="","",LOOKUP(B44,'Gem types'!B3:C55,'Gem types'!C3:C55))</f>
      </c>
      <c r="G44" s="213"/>
      <c r="H44" s="213"/>
      <c r="I44" s="213"/>
      <c r="J44" s="213"/>
      <c r="K44" s="213"/>
      <c r="L44" s="213"/>
      <c r="M44" s="213"/>
      <c r="N44" s="213"/>
      <c r="O44" s="213">
        <f>IF(E44="","",LOOKUP(B44,'Gem types'!$B$3:$C$55,'Gem types'!$D$3:$D$55))</f>
      </c>
      <c r="P44" s="213"/>
      <c r="Q44" s="213"/>
      <c r="R44" s="213"/>
      <c r="S44" s="213"/>
      <c r="T44" s="213"/>
      <c r="U44" s="213"/>
      <c r="V44" s="213"/>
      <c r="W44" s="213"/>
      <c r="X44" s="213">
        <f>IF(E44="","",LOOKUP(B44,'Gem types'!$B$3:$C$55,'Gem types'!$F$3:$F$55))</f>
      </c>
      <c r="Y44" s="213"/>
      <c r="Z44" s="213"/>
      <c r="AA44" s="213"/>
      <c r="AB44" s="213"/>
      <c r="AC44" s="213"/>
      <c r="AD44" s="213"/>
      <c r="AE44" s="213"/>
      <c r="AF44" s="215">
        <f t="shared" si="2"/>
      </c>
      <c r="AG44" s="213"/>
      <c r="AH44" s="213"/>
      <c r="AI44" s="213"/>
      <c r="AJ44" s="215">
        <f>IF(F44="","",LOOKUP(C44,'Gem types'!$I$3:$I$29,'Gem types'!$K$3:$K$29))</f>
      </c>
      <c r="AK44" s="215"/>
      <c r="AL44" s="215"/>
      <c r="AM44" s="215"/>
      <c r="AN44" s="215">
        <f>IF(F44="","",LOOKUP(C44,'Gem types'!$I$3:$I$29,'Gem types'!$L$3:$L$29))</f>
      </c>
      <c r="AO44" s="215"/>
      <c r="AP44" s="215"/>
      <c r="AQ44" s="215"/>
      <c r="AS44" s="219">
        <f t="shared" si="7"/>
      </c>
      <c r="AT44" s="219"/>
    </row>
    <row r="45" spans="1:46" s="99" customFormat="1" ht="21" customHeight="1">
      <c r="A45" s="127">
        <f>'Treasurer Creator'!AC30</f>
        <v>0</v>
      </c>
      <c r="B45" s="127">
        <f ca="1" t="shared" si="5"/>
        <v>38</v>
      </c>
      <c r="C45" s="128">
        <f ca="1" t="shared" si="6"/>
        <v>4</v>
      </c>
      <c r="D45" s="128">
        <f>SUM(LOOKUP(B45,'Gem types'!$B$3:$B$55,'Gem types'!$G$3:$G$55),PRODUCT(LOOKUP(B45,'Gem types'!$B$3:$B$55,'Gem types'!$G$3:$G$55),LOOKUP(C45,'Gem types'!$I$3:$I$29,'Gem types'!$J$3:$J$29)))</f>
        <v>1500</v>
      </c>
      <c r="E45" s="98">
        <f t="shared" si="8"/>
      </c>
      <c r="F45" s="213">
        <f>IF(E45="","",LOOKUP(B45,'Gem types'!B3:C55,'Gem types'!C3:C55))</f>
      </c>
      <c r="G45" s="213"/>
      <c r="H45" s="213"/>
      <c r="I45" s="213"/>
      <c r="J45" s="213"/>
      <c r="K45" s="213"/>
      <c r="L45" s="213"/>
      <c r="M45" s="213"/>
      <c r="N45" s="213"/>
      <c r="O45" s="213">
        <f>IF(E45="","",LOOKUP(B45,'Gem types'!$B$3:$C$55,'Gem types'!$D$3:$D$55))</f>
      </c>
      <c r="P45" s="213"/>
      <c r="Q45" s="213"/>
      <c r="R45" s="213"/>
      <c r="S45" s="213"/>
      <c r="T45" s="213"/>
      <c r="U45" s="213"/>
      <c r="V45" s="213"/>
      <c r="W45" s="213"/>
      <c r="X45" s="213">
        <f>IF(E45="","",LOOKUP(B45,'Gem types'!$B$3:$C$55,'Gem types'!$F$3:$F$55))</f>
      </c>
      <c r="Y45" s="213"/>
      <c r="Z45" s="213"/>
      <c r="AA45" s="213"/>
      <c r="AB45" s="213"/>
      <c r="AC45" s="213"/>
      <c r="AD45" s="213"/>
      <c r="AE45" s="213"/>
      <c r="AF45" s="215">
        <f t="shared" si="2"/>
      </c>
      <c r="AG45" s="213"/>
      <c r="AH45" s="213"/>
      <c r="AI45" s="213"/>
      <c r="AJ45" s="215">
        <f>IF(F45="","",LOOKUP(C45,'Gem types'!$I$3:$I$29,'Gem types'!$K$3:$K$29))</f>
      </c>
      <c r="AK45" s="215"/>
      <c r="AL45" s="215"/>
      <c r="AM45" s="215"/>
      <c r="AN45" s="215">
        <f>IF(F45="","",LOOKUP(C45,'Gem types'!$I$3:$I$29,'Gem types'!$L$3:$L$29))</f>
      </c>
      <c r="AO45" s="215"/>
      <c r="AP45" s="215"/>
      <c r="AQ45" s="215"/>
      <c r="AS45" s="219">
        <f t="shared" si="7"/>
      </c>
      <c r="AT45" s="219"/>
    </row>
    <row r="46" spans="1:46" s="99" customFormat="1" ht="21" customHeight="1">
      <c r="A46" s="127">
        <f>'Treasurer Creator'!AC30</f>
        <v>0</v>
      </c>
      <c r="B46" s="127">
        <f ca="1" t="shared" si="5"/>
        <v>48</v>
      </c>
      <c r="C46" s="128">
        <f ca="1" t="shared" si="6"/>
        <v>11</v>
      </c>
      <c r="D46" s="128">
        <f>SUM(LOOKUP(B46,'Gem types'!$B$3:$B$55,'Gem types'!$G$3:$G$55),PRODUCT(LOOKUP(B46,'Gem types'!$B$3:$B$55,'Gem types'!$G$3:$G$55),LOOKUP(C46,'Gem types'!$I$3:$I$29,'Gem types'!$J$3:$J$29)))</f>
        <v>6500</v>
      </c>
      <c r="E46" s="98">
        <f t="shared" si="8"/>
      </c>
      <c r="F46" s="213">
        <f>IF(E46="","",LOOKUP(B46,'Gem types'!B3:C55,'Gem types'!C3:C55))</f>
      </c>
      <c r="G46" s="213"/>
      <c r="H46" s="213"/>
      <c r="I46" s="213"/>
      <c r="J46" s="213"/>
      <c r="K46" s="213"/>
      <c r="L46" s="213"/>
      <c r="M46" s="213"/>
      <c r="N46" s="213"/>
      <c r="O46" s="213">
        <f>IF(E46="","",LOOKUP(B46,'Gem types'!$B$3:$C$55,'Gem types'!$D$3:$D$55))</f>
      </c>
      <c r="P46" s="213"/>
      <c r="Q46" s="213"/>
      <c r="R46" s="213"/>
      <c r="S46" s="213"/>
      <c r="T46" s="213"/>
      <c r="U46" s="213"/>
      <c r="V46" s="213"/>
      <c r="W46" s="213"/>
      <c r="X46" s="213">
        <f>IF(E46="","",LOOKUP(B46,'Gem types'!$B$3:$C$55,'Gem types'!$F$3:$F$55))</f>
      </c>
      <c r="Y46" s="213"/>
      <c r="Z46" s="213"/>
      <c r="AA46" s="213"/>
      <c r="AB46" s="213"/>
      <c r="AC46" s="213"/>
      <c r="AD46" s="213"/>
      <c r="AE46" s="213"/>
      <c r="AF46" s="215">
        <f t="shared" si="2"/>
      </c>
      <c r="AG46" s="213"/>
      <c r="AH46" s="213"/>
      <c r="AI46" s="213"/>
      <c r="AJ46" s="215">
        <f>IF(F46="","",LOOKUP(C46,'Gem types'!$I$3:$I$29,'Gem types'!$K$3:$K$29))</f>
      </c>
      <c r="AK46" s="215"/>
      <c r="AL46" s="215"/>
      <c r="AM46" s="215"/>
      <c r="AN46" s="215">
        <f>IF(F46="","",LOOKUP(C46,'Gem types'!$I$3:$I$29,'Gem types'!$L$3:$L$29))</f>
      </c>
      <c r="AO46" s="215"/>
      <c r="AP46" s="215"/>
      <c r="AQ46" s="215"/>
      <c r="AS46" s="219">
        <f t="shared" si="7"/>
      </c>
      <c r="AT46" s="219"/>
    </row>
    <row r="47" spans="1:46" s="99" customFormat="1" ht="21" customHeight="1">
      <c r="A47" s="127">
        <f>'Treasurer Creator'!AC30</f>
        <v>0</v>
      </c>
      <c r="B47" s="127">
        <f ca="1" t="shared" si="5"/>
        <v>11</v>
      </c>
      <c r="C47" s="128">
        <f ca="1" t="shared" si="6"/>
        <v>24</v>
      </c>
      <c r="D47" s="128">
        <f>SUM(LOOKUP(B47,'Gem types'!$B$3:$B$55,'Gem types'!$G$3:$G$55),PRODUCT(LOOKUP(B47,'Gem types'!$B$3:$B$55,'Gem types'!$G$3:$G$55),LOOKUP(C47,'Gem types'!$I$3:$I$29,'Gem types'!$J$3:$J$29)))</f>
        <v>5</v>
      </c>
      <c r="E47" s="98">
        <f t="shared" si="8"/>
      </c>
      <c r="F47" s="213">
        <f>IF(E47="","",LOOKUP(B47,'Gem types'!B3:C55,'Gem types'!C3:C55))</f>
      </c>
      <c r="G47" s="213"/>
      <c r="H47" s="213"/>
      <c r="I47" s="213"/>
      <c r="J47" s="213"/>
      <c r="K47" s="213"/>
      <c r="L47" s="213"/>
      <c r="M47" s="213"/>
      <c r="N47" s="213"/>
      <c r="O47" s="213">
        <f>IF(E47="","",LOOKUP(B47,'Gem types'!$B$3:$C$55,'Gem types'!$D$3:$D$55))</f>
      </c>
      <c r="P47" s="213"/>
      <c r="Q47" s="213"/>
      <c r="R47" s="213"/>
      <c r="S47" s="213"/>
      <c r="T47" s="213"/>
      <c r="U47" s="213"/>
      <c r="V47" s="213"/>
      <c r="W47" s="213"/>
      <c r="X47" s="213">
        <f>IF(E47="","",LOOKUP(B47,'Gem types'!$B$3:$C$55,'Gem types'!$F$3:$F$55))</f>
      </c>
      <c r="Y47" s="213"/>
      <c r="Z47" s="213"/>
      <c r="AA47" s="213"/>
      <c r="AB47" s="213"/>
      <c r="AC47" s="213"/>
      <c r="AD47" s="213"/>
      <c r="AE47" s="213"/>
      <c r="AF47" s="215">
        <f t="shared" si="2"/>
      </c>
      <c r="AG47" s="213"/>
      <c r="AH47" s="213"/>
      <c r="AI47" s="213"/>
      <c r="AJ47" s="215">
        <f>IF(F47="","",LOOKUP(C47,'Gem types'!$I$3:$I$29,'Gem types'!$K$3:$K$29))</f>
      </c>
      <c r="AK47" s="215"/>
      <c r="AL47" s="215"/>
      <c r="AM47" s="215"/>
      <c r="AN47" s="215">
        <f>IF(F47="","",LOOKUP(C47,'Gem types'!$I$3:$I$29,'Gem types'!$L$3:$L$29))</f>
      </c>
      <c r="AO47" s="215"/>
      <c r="AP47" s="215"/>
      <c r="AQ47" s="215"/>
      <c r="AS47" s="219">
        <f t="shared" si="7"/>
      </c>
      <c r="AT47" s="219"/>
    </row>
    <row r="48" spans="1:46" s="99" customFormat="1" ht="21" customHeight="1">
      <c r="A48" s="127">
        <f>'Treasurer Creator'!AC30</f>
        <v>0</v>
      </c>
      <c r="B48" s="127">
        <f ca="1" t="shared" si="5"/>
        <v>47</v>
      </c>
      <c r="C48" s="128">
        <f ca="1" t="shared" si="6"/>
        <v>18</v>
      </c>
      <c r="D48" s="128">
        <f>SUM(LOOKUP(B48,'Gem types'!$B$3:$B$55,'Gem types'!$G$3:$G$55),PRODUCT(LOOKUP(B48,'Gem types'!$B$3:$B$55,'Gem types'!$G$3:$G$55),LOOKUP(C48,'Gem types'!$I$3:$I$29,'Gem types'!$J$3:$J$29)))</f>
        <v>5000</v>
      </c>
      <c r="E48" s="98">
        <f t="shared" si="8"/>
      </c>
      <c r="F48" s="213">
        <f>IF(E48="","",LOOKUP(B48,'Gem types'!B3:C55,'Gem types'!C3:C55))</f>
      </c>
      <c r="G48" s="213"/>
      <c r="H48" s="213"/>
      <c r="I48" s="213"/>
      <c r="J48" s="213"/>
      <c r="K48" s="213"/>
      <c r="L48" s="213"/>
      <c r="M48" s="213"/>
      <c r="N48" s="213"/>
      <c r="O48" s="213">
        <f>IF(E48="","",LOOKUP(B48,'Gem types'!$B$3:$C$55,'Gem types'!$D$3:$D$55))</f>
      </c>
      <c r="P48" s="213"/>
      <c r="Q48" s="213"/>
      <c r="R48" s="213"/>
      <c r="S48" s="213"/>
      <c r="T48" s="213"/>
      <c r="U48" s="213"/>
      <c r="V48" s="213"/>
      <c r="W48" s="213"/>
      <c r="X48" s="213">
        <f>IF(E48="","",LOOKUP(B48,'Gem types'!$B$3:$C$55,'Gem types'!$F$3:$F$55))</f>
      </c>
      <c r="Y48" s="213"/>
      <c r="Z48" s="213"/>
      <c r="AA48" s="213"/>
      <c r="AB48" s="213"/>
      <c r="AC48" s="213"/>
      <c r="AD48" s="213"/>
      <c r="AE48" s="213"/>
      <c r="AF48" s="215">
        <f t="shared" si="2"/>
      </c>
      <c r="AG48" s="213"/>
      <c r="AH48" s="213"/>
      <c r="AI48" s="213"/>
      <c r="AJ48" s="215">
        <f>IF(F48="","",LOOKUP(C48,'Gem types'!$I$3:$I$29,'Gem types'!$K$3:$K$29))</f>
      </c>
      <c r="AK48" s="215"/>
      <c r="AL48" s="215"/>
      <c r="AM48" s="215"/>
      <c r="AN48" s="215">
        <f>IF(F48="","",LOOKUP(C48,'Gem types'!$I$3:$I$29,'Gem types'!$L$3:$L$29))</f>
      </c>
      <c r="AO48" s="215"/>
      <c r="AP48" s="215"/>
      <c r="AQ48" s="215"/>
      <c r="AS48" s="219">
        <f t="shared" si="7"/>
      </c>
      <c r="AT48" s="219"/>
    </row>
    <row r="49" spans="1:46" s="99" customFormat="1" ht="21" customHeight="1">
      <c r="A49" s="127">
        <f>'Treasurer Creator'!AC30</f>
        <v>0</v>
      </c>
      <c r="B49" s="127">
        <f ca="1" t="shared" si="5"/>
        <v>23</v>
      </c>
      <c r="C49" s="128">
        <f ca="1" t="shared" si="6"/>
        <v>16</v>
      </c>
      <c r="D49" s="128">
        <f>SUM(LOOKUP(B49,'Gem types'!$B$3:$B$55,'Gem types'!$G$3:$G$55),PRODUCT(LOOKUP(B49,'Gem types'!$B$3:$B$55,'Gem types'!$G$3:$G$55),LOOKUP(C49,'Gem types'!$I$3:$I$29,'Gem types'!$J$3:$J$29)))</f>
        <v>150</v>
      </c>
      <c r="E49" s="98">
        <f t="shared" si="8"/>
      </c>
      <c r="F49" s="213">
        <f>IF(E49="","",LOOKUP(B49,'Gem types'!B3:C55,'Gem types'!C3:C55))</f>
      </c>
      <c r="G49" s="213"/>
      <c r="H49" s="213"/>
      <c r="I49" s="213"/>
      <c r="J49" s="213"/>
      <c r="K49" s="213"/>
      <c r="L49" s="213"/>
      <c r="M49" s="213"/>
      <c r="N49" s="213"/>
      <c r="O49" s="213">
        <f>IF(E49="","",LOOKUP(B49,'Gem types'!$B$3:$C$55,'Gem types'!$D$3:$D$55))</f>
      </c>
      <c r="P49" s="213"/>
      <c r="Q49" s="213"/>
      <c r="R49" s="213"/>
      <c r="S49" s="213"/>
      <c r="T49" s="213"/>
      <c r="U49" s="213"/>
      <c r="V49" s="213"/>
      <c r="W49" s="213"/>
      <c r="X49" s="213">
        <f>IF(E49="","",LOOKUP(B49,'Gem types'!$B$3:$C$55,'Gem types'!$F$3:$F$55))</f>
      </c>
      <c r="Y49" s="213"/>
      <c r="Z49" s="213"/>
      <c r="AA49" s="213"/>
      <c r="AB49" s="213"/>
      <c r="AC49" s="213"/>
      <c r="AD49" s="213"/>
      <c r="AE49" s="213"/>
      <c r="AF49" s="215">
        <f t="shared" si="2"/>
      </c>
      <c r="AG49" s="213"/>
      <c r="AH49" s="213"/>
      <c r="AI49" s="213"/>
      <c r="AJ49" s="215">
        <f>IF(F49="","",LOOKUP(C49,'Gem types'!$I$3:$I$29,'Gem types'!$K$3:$K$29))</f>
      </c>
      <c r="AK49" s="215"/>
      <c r="AL49" s="215"/>
      <c r="AM49" s="215"/>
      <c r="AN49" s="215">
        <f>IF(F49="","",LOOKUP(C49,'Gem types'!$I$3:$I$29,'Gem types'!$L$3:$L$29))</f>
      </c>
      <c r="AO49" s="215"/>
      <c r="AP49" s="215"/>
      <c r="AQ49" s="215"/>
      <c r="AS49" s="219">
        <f t="shared" si="7"/>
      </c>
      <c r="AT49" s="219"/>
    </row>
    <row r="50" spans="1:46" s="99" customFormat="1" ht="21" customHeight="1">
      <c r="A50" s="127">
        <f>'Treasurer Creator'!AC30</f>
        <v>0</v>
      </c>
      <c r="B50" s="127">
        <f ca="1" t="shared" si="5"/>
        <v>53</v>
      </c>
      <c r="C50" s="128">
        <f ca="1" t="shared" si="6"/>
        <v>18</v>
      </c>
      <c r="D50" s="128">
        <f>SUM(LOOKUP(B50,'Gem types'!$B$3:$B$55,'Gem types'!$G$3:$G$55),PRODUCT(LOOKUP(B50,'Gem types'!$B$3:$B$55,'Gem types'!$G$3:$G$55),LOOKUP(C50,'Gem types'!$I$3:$I$29,'Gem types'!$J$3:$J$29)))</f>
        <v>5000</v>
      </c>
      <c r="E50" s="98">
        <f t="shared" si="8"/>
      </c>
      <c r="F50" s="213">
        <f>IF(E50="","",LOOKUP(B50,'Gem types'!B3:C55,'Gem types'!C3:C55))</f>
      </c>
      <c r="G50" s="213"/>
      <c r="H50" s="213"/>
      <c r="I50" s="213"/>
      <c r="J50" s="213"/>
      <c r="K50" s="213"/>
      <c r="L50" s="213"/>
      <c r="M50" s="213"/>
      <c r="N50" s="213"/>
      <c r="O50" s="213">
        <f>IF(E50="","",LOOKUP(B50,'Gem types'!$B$3:$C$55,'Gem types'!$D$3:$D$55))</f>
      </c>
      <c r="P50" s="213"/>
      <c r="Q50" s="213"/>
      <c r="R50" s="213"/>
      <c r="S50" s="213"/>
      <c r="T50" s="213"/>
      <c r="U50" s="213"/>
      <c r="V50" s="213"/>
      <c r="W50" s="213"/>
      <c r="X50" s="213">
        <f>IF(E50="","",LOOKUP(B50,'Gem types'!$B$3:$C$55,'Gem types'!$F$3:$F$55))</f>
      </c>
      <c r="Y50" s="213"/>
      <c r="Z50" s="213"/>
      <c r="AA50" s="213"/>
      <c r="AB50" s="213"/>
      <c r="AC50" s="213"/>
      <c r="AD50" s="213"/>
      <c r="AE50" s="213"/>
      <c r="AF50" s="215">
        <f t="shared" si="2"/>
      </c>
      <c r="AG50" s="213"/>
      <c r="AH50" s="213"/>
      <c r="AI50" s="213"/>
      <c r="AJ50" s="215">
        <f>IF(F50="","",LOOKUP(C50,'Gem types'!$I$3:$I$29,'Gem types'!$K$3:$K$29))</f>
      </c>
      <c r="AK50" s="215"/>
      <c r="AL50" s="215"/>
      <c r="AM50" s="215"/>
      <c r="AN50" s="215">
        <f>IF(F50="","",LOOKUP(C50,'Gem types'!$I$3:$I$29,'Gem types'!$L$3:$L$29))</f>
      </c>
      <c r="AO50" s="215"/>
      <c r="AP50" s="215"/>
      <c r="AQ50" s="215"/>
      <c r="AS50" s="219">
        <f t="shared" si="7"/>
      </c>
      <c r="AT50" s="219"/>
    </row>
    <row r="51" spans="1:46" s="99" customFormat="1" ht="21" customHeight="1">
      <c r="A51" s="127">
        <f>'Treasurer Creator'!AC30</f>
        <v>0</v>
      </c>
      <c r="B51" s="127">
        <f ca="1" t="shared" si="5"/>
        <v>51</v>
      </c>
      <c r="C51" s="128">
        <f ca="1" t="shared" si="6"/>
        <v>12</v>
      </c>
      <c r="D51" s="128">
        <f>SUM(LOOKUP(B51,'Gem types'!$B$3:$B$55,'Gem types'!$G$3:$G$55),PRODUCT(LOOKUP(B51,'Gem types'!$B$3:$B$55,'Gem types'!$G$3:$G$55),LOOKUP(C51,'Gem types'!$I$3:$I$29,'Gem types'!$J$3:$J$29)))</f>
        <v>1400</v>
      </c>
      <c r="E51" s="98">
        <f t="shared" si="8"/>
      </c>
      <c r="F51" s="213">
        <f>IF(E51="","",LOOKUP(B51,'Gem types'!B3:C55,'Gem types'!C3:C55))</f>
      </c>
      <c r="G51" s="213"/>
      <c r="H51" s="213"/>
      <c r="I51" s="213"/>
      <c r="J51" s="213"/>
      <c r="K51" s="213"/>
      <c r="L51" s="213"/>
      <c r="M51" s="213"/>
      <c r="N51" s="213"/>
      <c r="O51" s="213">
        <f>IF(E51="","",LOOKUP(B51,'Gem types'!$B$3:$C$55,'Gem types'!$D$3:$D$55))</f>
      </c>
      <c r="P51" s="213"/>
      <c r="Q51" s="213"/>
      <c r="R51" s="213"/>
      <c r="S51" s="213"/>
      <c r="T51" s="213"/>
      <c r="U51" s="213"/>
      <c r="V51" s="213"/>
      <c r="W51" s="213"/>
      <c r="X51" s="213">
        <f>IF(E51="","",LOOKUP(B51,'Gem types'!$B$3:$C$55,'Gem types'!$F$3:$F$55))</f>
      </c>
      <c r="Y51" s="213"/>
      <c r="Z51" s="213"/>
      <c r="AA51" s="213"/>
      <c r="AB51" s="213"/>
      <c r="AC51" s="213"/>
      <c r="AD51" s="213"/>
      <c r="AE51" s="213"/>
      <c r="AF51" s="215">
        <f t="shared" si="2"/>
      </c>
      <c r="AG51" s="213"/>
      <c r="AH51" s="213"/>
      <c r="AI51" s="213"/>
      <c r="AJ51" s="215">
        <f>IF(F51="","",LOOKUP(C51,'Gem types'!$I$3:$I$29,'Gem types'!$K$3:$K$29))</f>
      </c>
      <c r="AK51" s="215"/>
      <c r="AL51" s="215"/>
      <c r="AM51" s="215"/>
      <c r="AN51" s="215">
        <f>IF(F51="","",LOOKUP(C51,'Gem types'!$I$3:$I$29,'Gem types'!$L$3:$L$29))</f>
      </c>
      <c r="AO51" s="215"/>
      <c r="AP51" s="215"/>
      <c r="AQ51" s="215"/>
      <c r="AS51" s="219">
        <f t="shared" si="7"/>
      </c>
      <c r="AT51" s="219"/>
    </row>
    <row r="52" spans="1:46" s="99" customFormat="1" ht="21" customHeight="1">
      <c r="A52" s="127">
        <f>'Treasurer Creator'!AC30</f>
        <v>0</v>
      </c>
      <c r="B52" s="127">
        <f ca="1" t="shared" si="5"/>
        <v>17</v>
      </c>
      <c r="C52" s="128">
        <f ca="1" t="shared" si="6"/>
        <v>7</v>
      </c>
      <c r="D52" s="128">
        <f>SUM(LOOKUP(B52,'Gem types'!$B$3:$B$55,'Gem types'!$G$3:$G$55),PRODUCT(LOOKUP(B52,'Gem types'!$B$3:$B$55,'Gem types'!$G$3:$G$55),LOOKUP(C52,'Gem types'!$I$3:$I$29,'Gem types'!$J$3:$J$29)))</f>
        <v>150</v>
      </c>
      <c r="E52" s="98">
        <f t="shared" si="8"/>
      </c>
      <c r="F52" s="213">
        <f>IF(E52="","",LOOKUP(B52,'Gem types'!B3:C55,'Gem types'!C3:C55))</f>
      </c>
      <c r="G52" s="213"/>
      <c r="H52" s="213"/>
      <c r="I52" s="213"/>
      <c r="J52" s="213"/>
      <c r="K52" s="213"/>
      <c r="L52" s="213"/>
      <c r="M52" s="213"/>
      <c r="N52" s="213"/>
      <c r="O52" s="213">
        <f>IF(E52="","",LOOKUP(B52,'Gem types'!$B$3:$C$55,'Gem types'!$D$3:$D$55))</f>
      </c>
      <c r="P52" s="213"/>
      <c r="Q52" s="213"/>
      <c r="R52" s="213"/>
      <c r="S52" s="213"/>
      <c r="T52" s="213"/>
      <c r="U52" s="213"/>
      <c r="V52" s="213"/>
      <c r="W52" s="213"/>
      <c r="X52" s="213">
        <f>IF(E52="","",LOOKUP(B52,'Gem types'!$B$3:$C$55,'Gem types'!$F$3:$F$55))</f>
      </c>
      <c r="Y52" s="213"/>
      <c r="Z52" s="213"/>
      <c r="AA52" s="213"/>
      <c r="AB52" s="213"/>
      <c r="AC52" s="213"/>
      <c r="AD52" s="213"/>
      <c r="AE52" s="213"/>
      <c r="AF52" s="215">
        <f t="shared" si="2"/>
      </c>
      <c r="AG52" s="213"/>
      <c r="AH52" s="213"/>
      <c r="AI52" s="213"/>
      <c r="AJ52" s="215">
        <f>IF(F52="","",LOOKUP(C52,'Gem types'!$I$3:$I$29,'Gem types'!$K$3:$K$29))</f>
      </c>
      <c r="AK52" s="215"/>
      <c r="AL52" s="215"/>
      <c r="AM52" s="215"/>
      <c r="AN52" s="215">
        <f>IF(F52="","",LOOKUP(C52,'Gem types'!$I$3:$I$29,'Gem types'!$L$3:$L$29))</f>
      </c>
      <c r="AO52" s="215"/>
      <c r="AP52" s="215"/>
      <c r="AQ52" s="215"/>
      <c r="AS52" s="219">
        <f t="shared" si="7"/>
      </c>
      <c r="AT52" s="219"/>
    </row>
    <row r="53" spans="1:46" s="99" customFormat="1" ht="21" customHeight="1">
      <c r="A53" s="127">
        <f>'Treasurer Creator'!AC30</f>
        <v>0</v>
      </c>
      <c r="B53" s="127">
        <f ca="1" t="shared" si="5"/>
        <v>25</v>
      </c>
      <c r="C53" s="128">
        <f ca="1" t="shared" si="6"/>
        <v>2</v>
      </c>
      <c r="D53" s="128">
        <f>SUM(LOOKUP(B53,'Gem types'!$B$3:$B$55,'Gem types'!$G$3:$G$55),PRODUCT(LOOKUP(B53,'Gem types'!$B$3:$B$55,'Gem types'!$G$3:$G$55),LOOKUP(C53,'Gem types'!$I$3:$I$29,'Gem types'!$J$3:$J$29)))</f>
        <v>1100</v>
      </c>
      <c r="E53" s="98">
        <f t="shared" si="8"/>
      </c>
      <c r="F53" s="213">
        <f>IF(E53="","",LOOKUP(B53,'Gem types'!B3:C55,'Gem types'!C3:C55))</f>
      </c>
      <c r="G53" s="213"/>
      <c r="H53" s="213"/>
      <c r="I53" s="213"/>
      <c r="J53" s="213"/>
      <c r="K53" s="213"/>
      <c r="L53" s="213"/>
      <c r="M53" s="213"/>
      <c r="N53" s="213"/>
      <c r="O53" s="213">
        <f>IF(E53="","",LOOKUP(B53,'Gem types'!$B$3:$C$55,'Gem types'!$D$3:$D$55))</f>
      </c>
      <c r="P53" s="213"/>
      <c r="Q53" s="213"/>
      <c r="R53" s="213"/>
      <c r="S53" s="213"/>
      <c r="T53" s="213"/>
      <c r="U53" s="213"/>
      <c r="V53" s="213"/>
      <c r="W53" s="213"/>
      <c r="X53" s="213">
        <f>IF(E53="","",LOOKUP(B53,'Gem types'!$B$3:$C$55,'Gem types'!$F$3:$F$55))</f>
      </c>
      <c r="Y53" s="213"/>
      <c r="Z53" s="213"/>
      <c r="AA53" s="213"/>
      <c r="AB53" s="213"/>
      <c r="AC53" s="213"/>
      <c r="AD53" s="213"/>
      <c r="AE53" s="213"/>
      <c r="AF53" s="215">
        <f t="shared" si="2"/>
      </c>
      <c r="AG53" s="213"/>
      <c r="AH53" s="213"/>
      <c r="AI53" s="213"/>
      <c r="AJ53" s="215">
        <f>IF(F53="","",LOOKUP(C53,'Gem types'!$I$3:$I$29,'Gem types'!$K$3:$K$29))</f>
      </c>
      <c r="AK53" s="215"/>
      <c r="AL53" s="215"/>
      <c r="AM53" s="215"/>
      <c r="AN53" s="215">
        <f>IF(F53="","",LOOKUP(C53,'Gem types'!$I$3:$I$29,'Gem types'!$L$3:$L$29))</f>
      </c>
      <c r="AO53" s="215"/>
      <c r="AP53" s="215"/>
      <c r="AQ53" s="215"/>
      <c r="AS53" s="219">
        <f t="shared" si="7"/>
      </c>
      <c r="AT53" s="219"/>
    </row>
    <row r="54" spans="1:46" s="99" customFormat="1" ht="21" customHeight="1">
      <c r="A54" s="127">
        <f>'Treasurer Creator'!AC30</f>
        <v>0</v>
      </c>
      <c r="B54" s="127">
        <f ca="1" t="shared" si="5"/>
        <v>52</v>
      </c>
      <c r="C54" s="128">
        <f ca="1" t="shared" si="6"/>
        <v>4</v>
      </c>
      <c r="D54" s="128">
        <f>SUM(LOOKUP(B54,'Gem types'!$B$3:$B$55,'Gem types'!$G$3:$G$55),PRODUCT(LOOKUP(B54,'Gem types'!$B$3:$B$55,'Gem types'!$G$3:$G$55),LOOKUP(C54,'Gem types'!$I$3:$I$29,'Gem types'!$J$3:$J$29)))</f>
        <v>3000</v>
      </c>
      <c r="E54" s="98">
        <f t="shared" si="8"/>
      </c>
      <c r="F54" s="213">
        <f>IF(E54="","",LOOKUP(B54,'Gem types'!B3:C55,'Gem types'!C3:C55))</f>
      </c>
      <c r="G54" s="213"/>
      <c r="H54" s="213"/>
      <c r="I54" s="213"/>
      <c r="J54" s="213"/>
      <c r="K54" s="213"/>
      <c r="L54" s="213"/>
      <c r="M54" s="213"/>
      <c r="N54" s="213"/>
      <c r="O54" s="213">
        <f>IF(E54="","",LOOKUP(B54,'Gem types'!$B$3:$C$55,'Gem types'!$D$3:$D$55))</f>
      </c>
      <c r="P54" s="213"/>
      <c r="Q54" s="213"/>
      <c r="R54" s="213"/>
      <c r="S54" s="213"/>
      <c r="T54" s="213"/>
      <c r="U54" s="213"/>
      <c r="V54" s="213"/>
      <c r="W54" s="213"/>
      <c r="X54" s="213">
        <f>IF(E54="","",LOOKUP(B54,'Gem types'!$B$3:$C$55,'Gem types'!$F$3:$F$55))</f>
      </c>
      <c r="Y54" s="213"/>
      <c r="Z54" s="213"/>
      <c r="AA54" s="213"/>
      <c r="AB54" s="213"/>
      <c r="AC54" s="213"/>
      <c r="AD54" s="213"/>
      <c r="AE54" s="213"/>
      <c r="AF54" s="215">
        <f t="shared" si="2"/>
      </c>
      <c r="AG54" s="213"/>
      <c r="AH54" s="213"/>
      <c r="AI54" s="213"/>
      <c r="AJ54" s="215">
        <f>IF(F54="","",LOOKUP(C54,'Gem types'!$I$3:$I$29,'Gem types'!$K$3:$K$29))</f>
      </c>
      <c r="AK54" s="215"/>
      <c r="AL54" s="215"/>
      <c r="AM54" s="215"/>
      <c r="AN54" s="215">
        <f>IF(F54="","",LOOKUP(C54,'Gem types'!$I$3:$I$29,'Gem types'!$L$3:$L$29))</f>
      </c>
      <c r="AO54" s="215"/>
      <c r="AP54" s="215"/>
      <c r="AQ54" s="215"/>
      <c r="AS54" s="219">
        <f t="shared" si="7"/>
      </c>
      <c r="AT54" s="219"/>
    </row>
    <row r="55" spans="1:46" s="99" customFormat="1" ht="21" customHeight="1">
      <c r="A55" s="127">
        <f>'Treasurer Creator'!AC30</f>
        <v>0</v>
      </c>
      <c r="B55" s="127">
        <f ca="1" t="shared" si="5"/>
        <v>14</v>
      </c>
      <c r="C55" s="128">
        <f ca="1" t="shared" si="6"/>
        <v>12</v>
      </c>
      <c r="D55" s="128">
        <f>SUM(LOOKUP(B55,'Gem types'!$B$3:$B$55,'Gem types'!$G$3:$G$55),PRODUCT(LOOKUP(B55,'Gem types'!$B$3:$B$55,'Gem types'!$G$3:$G$55),LOOKUP(C55,'Gem types'!$I$3:$I$29,'Gem types'!$J$3:$J$29)))</f>
        <v>70</v>
      </c>
      <c r="E55" s="98">
        <f t="shared" si="8"/>
      </c>
      <c r="F55" s="213">
        <f>IF(E55="","",LOOKUP(B55,'Gem types'!B3:C55,'Gem types'!C3:C55))</f>
      </c>
      <c r="G55" s="213"/>
      <c r="H55" s="213"/>
      <c r="I55" s="213"/>
      <c r="J55" s="213"/>
      <c r="K55" s="213"/>
      <c r="L55" s="213"/>
      <c r="M55" s="213"/>
      <c r="N55" s="213"/>
      <c r="O55" s="213">
        <f>IF(E55="","",LOOKUP(B55,'Gem types'!$B$3:$C$55,'Gem types'!$D$3:$D$55))</f>
      </c>
      <c r="P55" s="213"/>
      <c r="Q55" s="213"/>
      <c r="R55" s="213"/>
      <c r="S55" s="213"/>
      <c r="T55" s="213"/>
      <c r="U55" s="213"/>
      <c r="V55" s="213"/>
      <c r="W55" s="213"/>
      <c r="X55" s="213">
        <f>IF(E55="","",LOOKUP(B55,'Gem types'!$B$3:$C$55,'Gem types'!$F$3:$F$55))</f>
      </c>
      <c r="Y55" s="213"/>
      <c r="Z55" s="213"/>
      <c r="AA55" s="213"/>
      <c r="AB55" s="213"/>
      <c r="AC55" s="213"/>
      <c r="AD55" s="213"/>
      <c r="AE55" s="213"/>
      <c r="AF55" s="215">
        <f t="shared" si="2"/>
      </c>
      <c r="AG55" s="213"/>
      <c r="AH55" s="213"/>
      <c r="AI55" s="213"/>
      <c r="AJ55" s="215">
        <f>IF(F55="","",LOOKUP(C55,'Gem types'!$I$3:$I$29,'Gem types'!$K$3:$K$29))</f>
      </c>
      <c r="AK55" s="215"/>
      <c r="AL55" s="215"/>
      <c r="AM55" s="215"/>
      <c r="AN55" s="215">
        <f>IF(F55="","",LOOKUP(C55,'Gem types'!$I$3:$I$29,'Gem types'!$L$3:$L$29))</f>
      </c>
      <c r="AO55" s="215"/>
      <c r="AP55" s="215"/>
      <c r="AQ55" s="215"/>
      <c r="AS55" s="219">
        <f t="shared" si="7"/>
      </c>
      <c r="AT55" s="219"/>
    </row>
    <row r="56" spans="1:46" s="99" customFormat="1" ht="21" customHeight="1">
      <c r="A56" s="127">
        <f>'Treasurer Creator'!AC30</f>
        <v>0</v>
      </c>
      <c r="B56" s="127">
        <f ca="1" t="shared" si="5"/>
        <v>42</v>
      </c>
      <c r="C56" s="128">
        <f ca="1" t="shared" si="6"/>
        <v>15</v>
      </c>
      <c r="D56" s="128">
        <f>SUM(LOOKUP(B56,'Gem types'!$B$3:$B$55,'Gem types'!$G$3:$G$55),PRODUCT(LOOKUP(B56,'Gem types'!$B$3:$B$55,'Gem types'!$G$3:$G$55),LOOKUP(C56,'Gem types'!$I$3:$I$29,'Gem types'!$J$3:$J$29)))</f>
        <v>10000</v>
      </c>
      <c r="E56" s="98">
        <f t="shared" si="8"/>
      </c>
      <c r="F56" s="213">
        <f>IF(E56="","",LOOKUP(B56,'Gem types'!B3:C55,'Gem types'!C3:C55))</f>
      </c>
      <c r="G56" s="213"/>
      <c r="H56" s="213"/>
      <c r="I56" s="213"/>
      <c r="J56" s="213"/>
      <c r="K56" s="213"/>
      <c r="L56" s="213"/>
      <c r="M56" s="213"/>
      <c r="N56" s="213"/>
      <c r="O56" s="213">
        <f>IF(E56="","",LOOKUP(B56,'Gem types'!$B$3:$C$55,'Gem types'!$D$3:$D$55))</f>
      </c>
      <c r="P56" s="213"/>
      <c r="Q56" s="213"/>
      <c r="R56" s="213"/>
      <c r="S56" s="213"/>
      <c r="T56" s="213"/>
      <c r="U56" s="213"/>
      <c r="V56" s="213"/>
      <c r="W56" s="213"/>
      <c r="X56" s="213">
        <f>IF(E56="","",LOOKUP(B56,'Gem types'!$B$3:$C$55,'Gem types'!$F$3:$F$55))</f>
      </c>
      <c r="Y56" s="213"/>
      <c r="Z56" s="213"/>
      <c r="AA56" s="213"/>
      <c r="AB56" s="213"/>
      <c r="AC56" s="213"/>
      <c r="AD56" s="213"/>
      <c r="AE56" s="213"/>
      <c r="AF56" s="215">
        <f t="shared" si="2"/>
      </c>
      <c r="AG56" s="213"/>
      <c r="AH56" s="213"/>
      <c r="AI56" s="213"/>
      <c r="AJ56" s="215">
        <f>IF(F56="","",LOOKUP(C56,'Gem types'!$I$3:$I$29,'Gem types'!$K$3:$K$29))</f>
      </c>
      <c r="AK56" s="215"/>
      <c r="AL56" s="215"/>
      <c r="AM56" s="215"/>
      <c r="AN56" s="215">
        <f>IF(F56="","",LOOKUP(C56,'Gem types'!$I$3:$I$29,'Gem types'!$L$3:$L$29))</f>
      </c>
      <c r="AO56" s="215"/>
      <c r="AP56" s="215"/>
      <c r="AQ56" s="215"/>
      <c r="AS56" s="219">
        <f t="shared" si="7"/>
      </c>
      <c r="AT56" s="219"/>
    </row>
    <row r="57" spans="1:46" s="99" customFormat="1" ht="21" customHeight="1">
      <c r="A57" s="127">
        <f>'Treasurer Creator'!AC30</f>
        <v>0</v>
      </c>
      <c r="B57" s="127">
        <f ca="1" t="shared" si="5"/>
        <v>20</v>
      </c>
      <c r="C57" s="128">
        <f ca="1" t="shared" si="6"/>
        <v>4</v>
      </c>
      <c r="D57" s="128">
        <f>SUM(LOOKUP(B57,'Gem types'!$B$3:$B$55,'Gem types'!$G$3:$G$55),PRODUCT(LOOKUP(B57,'Gem types'!$B$3:$B$55,'Gem types'!$G$3:$G$55),LOOKUP(C57,'Gem types'!$I$3:$I$29,'Gem types'!$J$3:$J$29)))</f>
        <v>150</v>
      </c>
      <c r="E57" s="98">
        <f t="shared" si="8"/>
      </c>
      <c r="F57" s="213">
        <f>IF(E57="","",LOOKUP(B57,'Gem types'!B3:C55,'Gem types'!C3:C55))</f>
      </c>
      <c r="G57" s="213"/>
      <c r="H57" s="213"/>
      <c r="I57" s="213"/>
      <c r="J57" s="213"/>
      <c r="K57" s="213"/>
      <c r="L57" s="213"/>
      <c r="M57" s="213"/>
      <c r="N57" s="213"/>
      <c r="O57" s="213">
        <f>IF(E57="","",LOOKUP(B57,'Gem types'!$B$3:$C$55,'Gem types'!$D$3:$D$55))</f>
      </c>
      <c r="P57" s="213"/>
      <c r="Q57" s="213"/>
      <c r="R57" s="213"/>
      <c r="S57" s="213"/>
      <c r="T57" s="213"/>
      <c r="U57" s="213"/>
      <c r="V57" s="213"/>
      <c r="W57" s="213"/>
      <c r="X57" s="213">
        <f>IF(E57="","",LOOKUP(B57,'Gem types'!$B$3:$C$55,'Gem types'!$F$3:$F$55))</f>
      </c>
      <c r="Y57" s="213"/>
      <c r="Z57" s="213"/>
      <c r="AA57" s="213"/>
      <c r="AB57" s="213"/>
      <c r="AC57" s="213"/>
      <c r="AD57" s="213"/>
      <c r="AE57" s="213"/>
      <c r="AF57" s="215">
        <f t="shared" si="2"/>
      </c>
      <c r="AG57" s="213"/>
      <c r="AH57" s="213"/>
      <c r="AI57" s="213"/>
      <c r="AJ57" s="215">
        <f>IF(F57="","",LOOKUP(C57,'Gem types'!$I$3:$I$29,'Gem types'!$K$3:$K$29))</f>
      </c>
      <c r="AK57" s="215"/>
      <c r="AL57" s="215"/>
      <c r="AM57" s="215"/>
      <c r="AN57" s="215">
        <f>IF(F57="","",LOOKUP(C57,'Gem types'!$I$3:$I$29,'Gem types'!$L$3:$L$29))</f>
      </c>
      <c r="AO57" s="215"/>
      <c r="AP57" s="215"/>
      <c r="AQ57" s="215"/>
      <c r="AS57" s="219">
        <f t="shared" si="7"/>
      </c>
      <c r="AT57" s="219"/>
    </row>
    <row r="58" spans="1:46" s="99" customFormat="1" ht="21" customHeight="1">
      <c r="A58" s="127">
        <f>'Treasurer Creator'!AC30</f>
        <v>0</v>
      </c>
      <c r="B58" s="127">
        <f ca="1" t="shared" si="5"/>
        <v>1</v>
      </c>
      <c r="C58" s="128">
        <f ca="1" t="shared" si="6"/>
        <v>1</v>
      </c>
      <c r="D58" s="128">
        <f>SUM(LOOKUP(B58,'Gem types'!$B$3:$B$55,'Gem types'!$G$3:$G$55),PRODUCT(LOOKUP(B58,'Gem types'!$B$3:$B$55,'Gem types'!$G$3:$G$55),LOOKUP(C58,'Gem types'!$I$3:$I$29,'Gem types'!$J$3:$J$29)))</f>
        <v>210</v>
      </c>
      <c r="E58" s="98">
        <f t="shared" si="8"/>
      </c>
      <c r="F58" s="213">
        <f>IF(E58="","",LOOKUP(B58,'Gem types'!B3:C55,'Gem types'!C3:C55))</f>
      </c>
      <c r="G58" s="213"/>
      <c r="H58" s="213"/>
      <c r="I58" s="213"/>
      <c r="J58" s="213"/>
      <c r="K58" s="213"/>
      <c r="L58" s="213"/>
      <c r="M58" s="213"/>
      <c r="N58" s="213"/>
      <c r="O58" s="213">
        <f>IF(E58="","",LOOKUP(B58,'Gem types'!$B$3:$C$55,'Gem types'!$D$3:$D$55))</f>
      </c>
      <c r="P58" s="213"/>
      <c r="Q58" s="213"/>
      <c r="R58" s="213"/>
      <c r="S58" s="213"/>
      <c r="T58" s="213"/>
      <c r="U58" s="213"/>
      <c r="V58" s="213"/>
      <c r="W58" s="213"/>
      <c r="X58" s="213">
        <f>IF(E58="","",LOOKUP(B58,'Gem types'!$B$3:$C$55,'Gem types'!$F$3:$F$55))</f>
      </c>
      <c r="Y58" s="213"/>
      <c r="Z58" s="213"/>
      <c r="AA58" s="213"/>
      <c r="AB58" s="213"/>
      <c r="AC58" s="213"/>
      <c r="AD58" s="213"/>
      <c r="AE58" s="213"/>
      <c r="AF58" s="215">
        <f t="shared" si="2"/>
      </c>
      <c r="AG58" s="213"/>
      <c r="AH58" s="213"/>
      <c r="AI58" s="213"/>
      <c r="AJ58" s="215">
        <f>IF(F58="","",LOOKUP(C58,'Gem types'!$I$3:$I$29,'Gem types'!$K$3:$K$29))</f>
      </c>
      <c r="AK58" s="215"/>
      <c r="AL58" s="215"/>
      <c r="AM58" s="215"/>
      <c r="AN58" s="215">
        <f>IF(F58="","",LOOKUP(C58,'Gem types'!$I$3:$I$29,'Gem types'!$L$3:$L$29))</f>
      </c>
      <c r="AO58" s="215"/>
      <c r="AP58" s="215"/>
      <c r="AQ58" s="215"/>
      <c r="AS58" s="219">
        <f t="shared" si="7"/>
      </c>
      <c r="AT58" s="219"/>
    </row>
    <row r="59" spans="1:46" s="99" customFormat="1" ht="21" customHeight="1">
      <c r="A59" s="127">
        <f>'Treasurer Creator'!AC30</f>
        <v>0</v>
      </c>
      <c r="B59" s="127">
        <f ca="1" t="shared" si="5"/>
        <v>52</v>
      </c>
      <c r="C59" s="128">
        <f ca="1" t="shared" si="6"/>
        <v>16</v>
      </c>
      <c r="D59" s="128">
        <f>SUM(LOOKUP(B59,'Gem types'!$B$3:$B$55,'Gem types'!$G$3:$G$55),PRODUCT(LOOKUP(B59,'Gem types'!$B$3:$B$55,'Gem types'!$G$3:$G$55),LOOKUP(C59,'Gem types'!$I$3:$I$29,'Gem types'!$J$3:$J$29)))</f>
        <v>3000</v>
      </c>
      <c r="E59" s="98">
        <f t="shared" si="8"/>
      </c>
      <c r="F59" s="213">
        <f>IF(E59="","",LOOKUP(B59,'Gem types'!B3:C55,'Gem types'!C3:C55))</f>
      </c>
      <c r="G59" s="213"/>
      <c r="H59" s="213"/>
      <c r="I59" s="213"/>
      <c r="J59" s="213"/>
      <c r="K59" s="213"/>
      <c r="L59" s="213"/>
      <c r="M59" s="213"/>
      <c r="N59" s="213"/>
      <c r="O59" s="213">
        <f>IF(E59="","",LOOKUP(B59,'Gem types'!$B$3:$C$55,'Gem types'!$D$3:$D$55))</f>
      </c>
      <c r="P59" s="213"/>
      <c r="Q59" s="213"/>
      <c r="R59" s="213"/>
      <c r="S59" s="213"/>
      <c r="T59" s="213"/>
      <c r="U59" s="213"/>
      <c r="V59" s="213"/>
      <c r="W59" s="213"/>
      <c r="X59" s="213">
        <f>IF(E59="","",LOOKUP(B59,'Gem types'!$B$3:$C$55,'Gem types'!$F$3:$F$55))</f>
      </c>
      <c r="Y59" s="213"/>
      <c r="Z59" s="213"/>
      <c r="AA59" s="213"/>
      <c r="AB59" s="213"/>
      <c r="AC59" s="213"/>
      <c r="AD59" s="213"/>
      <c r="AE59" s="213"/>
      <c r="AF59" s="215">
        <f t="shared" si="2"/>
      </c>
      <c r="AG59" s="213"/>
      <c r="AH59" s="213"/>
      <c r="AI59" s="213"/>
      <c r="AJ59" s="215">
        <f>IF(F59="","",LOOKUP(C59,'Gem types'!$I$3:$I$29,'Gem types'!$K$3:$K$29))</f>
      </c>
      <c r="AK59" s="215"/>
      <c r="AL59" s="215"/>
      <c r="AM59" s="215"/>
      <c r="AN59" s="215">
        <f>IF(F59="","",LOOKUP(C59,'Gem types'!$I$3:$I$29,'Gem types'!$L$3:$L$29))</f>
      </c>
      <c r="AO59" s="215"/>
      <c r="AP59" s="215"/>
      <c r="AQ59" s="215"/>
      <c r="AS59" s="219">
        <f t="shared" si="7"/>
      </c>
      <c r="AT59" s="219"/>
    </row>
    <row r="60" spans="1:46" s="99" customFormat="1" ht="21" customHeight="1">
      <c r="A60" s="127">
        <f>'Treasurer Creator'!AC30</f>
        <v>0</v>
      </c>
      <c r="B60" s="127">
        <f ca="1" t="shared" si="5"/>
        <v>20</v>
      </c>
      <c r="C60" s="128">
        <f ca="1" t="shared" si="6"/>
        <v>20</v>
      </c>
      <c r="D60" s="128">
        <f>SUM(LOOKUP(B60,'Gem types'!$B$3:$B$55,'Gem types'!$G$3:$G$55),PRODUCT(LOOKUP(B60,'Gem types'!$B$3:$B$55,'Gem types'!$G$3:$G$55),LOOKUP(C60,'Gem types'!$I$3:$I$29,'Gem types'!$J$3:$J$29)))</f>
        <v>45</v>
      </c>
      <c r="E60" s="98">
        <f t="shared" si="8"/>
      </c>
      <c r="F60" s="213">
        <f>IF(E60="","",LOOKUP(B60,'Gem types'!B3:C55,'Gem types'!C3:C55))</f>
      </c>
      <c r="G60" s="213"/>
      <c r="H60" s="213"/>
      <c r="I60" s="213"/>
      <c r="J60" s="213"/>
      <c r="K60" s="213"/>
      <c r="L60" s="213"/>
      <c r="M60" s="213"/>
      <c r="N60" s="213"/>
      <c r="O60" s="213">
        <f>IF(E60="","",LOOKUP(B60,'Gem types'!$B$3:$C$55,'Gem types'!$D$3:$D$55))</f>
      </c>
      <c r="P60" s="213"/>
      <c r="Q60" s="213"/>
      <c r="R60" s="213"/>
      <c r="S60" s="213"/>
      <c r="T60" s="213"/>
      <c r="U60" s="213"/>
      <c r="V60" s="213"/>
      <c r="W60" s="213"/>
      <c r="X60" s="213">
        <f>IF(E60="","",LOOKUP(B60,'Gem types'!$B$3:$C$55,'Gem types'!$F$3:$F$55))</f>
      </c>
      <c r="Y60" s="213"/>
      <c r="Z60" s="213"/>
      <c r="AA60" s="213"/>
      <c r="AB60" s="213"/>
      <c r="AC60" s="213"/>
      <c r="AD60" s="213"/>
      <c r="AE60" s="213"/>
      <c r="AF60" s="215">
        <f t="shared" si="2"/>
      </c>
      <c r="AG60" s="213"/>
      <c r="AH60" s="213"/>
      <c r="AI60" s="213"/>
      <c r="AJ60" s="215">
        <f>IF(F60="","",LOOKUP(C60,'Gem types'!$I$3:$I$29,'Gem types'!$K$3:$K$29))</f>
      </c>
      <c r="AK60" s="215"/>
      <c r="AL60" s="215"/>
      <c r="AM60" s="215"/>
      <c r="AN60" s="215">
        <f>IF(F60="","",LOOKUP(C60,'Gem types'!$I$3:$I$29,'Gem types'!$L$3:$L$29))</f>
      </c>
      <c r="AO60" s="215"/>
      <c r="AP60" s="215"/>
      <c r="AQ60" s="215"/>
      <c r="AS60" s="219">
        <f t="shared" si="7"/>
      </c>
      <c r="AT60" s="219"/>
    </row>
    <row r="61" spans="1:46" s="99" customFormat="1" ht="21" customHeight="1">
      <c r="A61" s="127">
        <f>'Treasurer Creator'!AC30</f>
        <v>0</v>
      </c>
      <c r="B61" s="127">
        <f ca="1" t="shared" si="5"/>
        <v>14</v>
      </c>
      <c r="C61" s="128">
        <f ca="1" t="shared" si="6"/>
        <v>8</v>
      </c>
      <c r="D61" s="128">
        <f>SUM(LOOKUP(B61,'Gem types'!$B$3:$B$55,'Gem types'!$G$3:$G$55),PRODUCT(LOOKUP(B61,'Gem types'!$B$3:$B$55,'Gem types'!$G$3:$G$55),LOOKUP(C61,'Gem types'!$I$3:$I$29,'Gem types'!$J$3:$J$29)))</f>
        <v>150</v>
      </c>
      <c r="E61" s="98">
        <f t="shared" si="8"/>
      </c>
      <c r="F61" s="213">
        <f>IF(E61="","",LOOKUP(B61,'Gem types'!B3:C55,'Gem types'!C3:C55))</f>
      </c>
      <c r="G61" s="213"/>
      <c r="H61" s="213"/>
      <c r="I61" s="213"/>
      <c r="J61" s="213"/>
      <c r="K61" s="213"/>
      <c r="L61" s="213"/>
      <c r="M61" s="213"/>
      <c r="N61" s="213"/>
      <c r="O61" s="213">
        <f>IF(E61="","",LOOKUP(B61,'Gem types'!$B$3:$C$55,'Gem types'!$D$3:$D$55))</f>
      </c>
      <c r="P61" s="213"/>
      <c r="Q61" s="213"/>
      <c r="R61" s="213"/>
      <c r="S61" s="213"/>
      <c r="T61" s="213"/>
      <c r="U61" s="213"/>
      <c r="V61" s="213"/>
      <c r="W61" s="213"/>
      <c r="X61" s="213">
        <f>IF(E61="","",LOOKUP(B61,'Gem types'!$B$3:$C$55,'Gem types'!$F$3:$F$55))</f>
      </c>
      <c r="Y61" s="213"/>
      <c r="Z61" s="213"/>
      <c r="AA61" s="213"/>
      <c r="AB61" s="213"/>
      <c r="AC61" s="213"/>
      <c r="AD61" s="213"/>
      <c r="AE61" s="213"/>
      <c r="AF61" s="215">
        <f t="shared" si="2"/>
      </c>
      <c r="AG61" s="213"/>
      <c r="AH61" s="213"/>
      <c r="AI61" s="213"/>
      <c r="AJ61" s="215">
        <f>IF(F61="","",LOOKUP(C61,'Gem types'!$I$3:$I$29,'Gem types'!$K$3:$K$29))</f>
      </c>
      <c r="AK61" s="215"/>
      <c r="AL61" s="215"/>
      <c r="AM61" s="215"/>
      <c r="AN61" s="215">
        <f>IF(F61="","",LOOKUP(C61,'Gem types'!$I$3:$I$29,'Gem types'!$L$3:$L$29))</f>
      </c>
      <c r="AO61" s="215"/>
      <c r="AP61" s="215"/>
      <c r="AQ61" s="215"/>
      <c r="AS61" s="219">
        <f t="shared" si="7"/>
      </c>
      <c r="AT61" s="219"/>
    </row>
    <row r="62" spans="1:46" s="99" customFormat="1" ht="21" customHeight="1">
      <c r="A62" s="127">
        <f>'Treasurer Creator'!AC30</f>
        <v>0</v>
      </c>
      <c r="B62" s="127">
        <f ca="1" t="shared" si="5"/>
        <v>24</v>
      </c>
      <c r="C62" s="128">
        <f ca="1" t="shared" si="6"/>
        <v>10</v>
      </c>
      <c r="D62" s="128">
        <f>SUM(LOOKUP(B62,'Gem types'!$B$3:$B$55,'Gem types'!$G$3:$G$55),PRODUCT(LOOKUP(B62,'Gem types'!$B$3:$B$55,'Gem types'!$G$3:$G$55),LOOKUP(C62,'Gem types'!$I$3:$I$29,'Gem types'!$J$3:$J$29)))</f>
        <v>60</v>
      </c>
      <c r="E62" s="98">
        <f t="shared" si="8"/>
      </c>
      <c r="F62" s="213">
        <f>IF(E62="","",LOOKUP(B62,'Gem types'!B3:C55,'Gem types'!C3:C55))</f>
      </c>
      <c r="G62" s="213"/>
      <c r="H62" s="213"/>
      <c r="I62" s="213"/>
      <c r="J62" s="213"/>
      <c r="K62" s="213"/>
      <c r="L62" s="213"/>
      <c r="M62" s="213"/>
      <c r="N62" s="213"/>
      <c r="O62" s="213">
        <f>IF(E62="","",LOOKUP(B62,'Gem types'!$B$3:$C$55,'Gem types'!$D$3:$D$55))</f>
      </c>
      <c r="P62" s="213"/>
      <c r="Q62" s="213"/>
      <c r="R62" s="213"/>
      <c r="S62" s="213"/>
      <c r="T62" s="213"/>
      <c r="U62" s="213"/>
      <c r="V62" s="213"/>
      <c r="W62" s="213"/>
      <c r="X62" s="213">
        <f>IF(E62="","",LOOKUP(B62,'Gem types'!$B$3:$C$55,'Gem types'!$F$3:$F$55))</f>
      </c>
      <c r="Y62" s="213"/>
      <c r="Z62" s="213"/>
      <c r="AA62" s="213"/>
      <c r="AB62" s="213"/>
      <c r="AC62" s="213"/>
      <c r="AD62" s="213"/>
      <c r="AE62" s="213"/>
      <c r="AF62" s="215">
        <f t="shared" si="2"/>
      </c>
      <c r="AG62" s="213"/>
      <c r="AH62" s="213"/>
      <c r="AI62" s="213"/>
      <c r="AJ62" s="215">
        <f>IF(F62="","",LOOKUP(C62,'Gem types'!$I$3:$I$29,'Gem types'!$K$3:$K$29))</f>
      </c>
      <c r="AK62" s="215"/>
      <c r="AL62" s="215"/>
      <c r="AM62" s="215"/>
      <c r="AN62" s="215">
        <f>IF(F62="","",LOOKUP(C62,'Gem types'!$I$3:$I$29,'Gem types'!$L$3:$L$29))</f>
      </c>
      <c r="AO62" s="215"/>
      <c r="AP62" s="215"/>
      <c r="AQ62" s="215"/>
      <c r="AS62" s="219">
        <f t="shared" si="7"/>
      </c>
      <c r="AT62" s="219"/>
    </row>
    <row r="63" spans="1:46" s="99" customFormat="1" ht="21" customHeight="1">
      <c r="A63" s="127">
        <f>'Treasurer Creator'!AC30</f>
        <v>0</v>
      </c>
      <c r="B63" s="127">
        <f ca="1" t="shared" si="5"/>
        <v>23</v>
      </c>
      <c r="C63" s="128">
        <f ca="1" t="shared" si="6"/>
        <v>17</v>
      </c>
      <c r="D63" s="128">
        <f>SUM(LOOKUP(B63,'Gem types'!$B$3:$B$55,'Gem types'!$G$3:$G$55),PRODUCT(LOOKUP(B63,'Gem types'!$B$3:$B$55,'Gem types'!$G$3:$G$55),LOOKUP(C63,'Gem types'!$I$3:$I$29,'Gem types'!$J$3:$J$29)))</f>
        <v>200</v>
      </c>
      <c r="E63" s="98">
        <f t="shared" si="8"/>
      </c>
      <c r="F63" s="213">
        <f>IF(E63="","",LOOKUP(B63,'Gem types'!B3:C55,'Gem types'!C3:C55))</f>
      </c>
      <c r="G63" s="213"/>
      <c r="H63" s="213"/>
      <c r="I63" s="213"/>
      <c r="J63" s="213"/>
      <c r="K63" s="213"/>
      <c r="L63" s="213"/>
      <c r="M63" s="213"/>
      <c r="N63" s="213"/>
      <c r="O63" s="213">
        <f>IF(E63="","",LOOKUP(B63,'Gem types'!$B$3:$C$55,'Gem types'!$D$3:$D$55))</f>
      </c>
      <c r="P63" s="213"/>
      <c r="Q63" s="213"/>
      <c r="R63" s="213"/>
      <c r="S63" s="213"/>
      <c r="T63" s="213"/>
      <c r="U63" s="213"/>
      <c r="V63" s="213"/>
      <c r="W63" s="213"/>
      <c r="X63" s="213">
        <f>IF(E63="","",LOOKUP(B63,'Gem types'!$B$3:$C$55,'Gem types'!$F$3:$F$55))</f>
      </c>
      <c r="Y63" s="213"/>
      <c r="Z63" s="213"/>
      <c r="AA63" s="213"/>
      <c r="AB63" s="213"/>
      <c r="AC63" s="213"/>
      <c r="AD63" s="213"/>
      <c r="AE63" s="213"/>
      <c r="AF63" s="215">
        <f t="shared" si="2"/>
      </c>
      <c r="AG63" s="213"/>
      <c r="AH63" s="213"/>
      <c r="AI63" s="213"/>
      <c r="AJ63" s="215">
        <f>IF(F63="","",LOOKUP(C63,'Gem types'!$I$3:$I$29,'Gem types'!$K$3:$K$29))</f>
      </c>
      <c r="AK63" s="215"/>
      <c r="AL63" s="215"/>
      <c r="AM63" s="215"/>
      <c r="AN63" s="215">
        <f>IF(F63="","",LOOKUP(C63,'Gem types'!$I$3:$I$29,'Gem types'!$L$3:$L$29))</f>
      </c>
      <c r="AO63" s="215"/>
      <c r="AP63" s="215"/>
      <c r="AQ63" s="215"/>
      <c r="AS63" s="219">
        <f t="shared" si="7"/>
      </c>
      <c r="AT63" s="219"/>
    </row>
    <row r="64" spans="1:46" s="99" customFormat="1" ht="21" customHeight="1">
      <c r="A64" s="127">
        <f>'Treasurer Creator'!AC30</f>
        <v>0</v>
      </c>
      <c r="B64" s="127">
        <f ca="1" t="shared" si="5"/>
        <v>2</v>
      </c>
      <c r="C64" s="128">
        <f ca="1" t="shared" si="6"/>
        <v>21</v>
      </c>
      <c r="D64" s="128">
        <f>SUM(LOOKUP(B64,'Gem types'!$B$3:$B$55,'Gem types'!$G$3:$G$55),PRODUCT(LOOKUP(B64,'Gem types'!$B$3:$B$55,'Gem types'!$G$3:$G$55),LOOKUP(C64,'Gem types'!$I$3:$I$29,'Gem types'!$J$3:$J$29)))</f>
        <v>8</v>
      </c>
      <c r="E64" s="98">
        <f t="shared" si="8"/>
      </c>
      <c r="F64" s="213">
        <f>IF(E64="","",LOOKUP(B64,'Gem types'!B3:C55,'Gem types'!C3:C55))</f>
      </c>
      <c r="G64" s="213"/>
      <c r="H64" s="213"/>
      <c r="I64" s="213"/>
      <c r="J64" s="213"/>
      <c r="K64" s="213"/>
      <c r="L64" s="213"/>
      <c r="M64" s="213"/>
      <c r="N64" s="213"/>
      <c r="O64" s="213">
        <f>IF(E64="","",LOOKUP(B64,'Gem types'!$B$3:$C$55,'Gem types'!$D$3:$D$55))</f>
      </c>
      <c r="P64" s="213"/>
      <c r="Q64" s="213"/>
      <c r="R64" s="213"/>
      <c r="S64" s="213"/>
      <c r="T64" s="213"/>
      <c r="U64" s="213"/>
      <c r="V64" s="213"/>
      <c r="W64" s="213"/>
      <c r="X64" s="213">
        <f>IF(E64="","",LOOKUP(B64,'Gem types'!$B$3:$C$55,'Gem types'!$F$3:$F$55))</f>
      </c>
      <c r="Y64" s="213"/>
      <c r="Z64" s="213"/>
      <c r="AA64" s="213"/>
      <c r="AB64" s="213"/>
      <c r="AC64" s="213"/>
      <c r="AD64" s="213"/>
      <c r="AE64" s="213"/>
      <c r="AF64" s="215">
        <f t="shared" si="2"/>
      </c>
      <c r="AG64" s="213"/>
      <c r="AH64" s="213"/>
      <c r="AI64" s="213"/>
      <c r="AJ64" s="215">
        <f>IF(F64="","",LOOKUP(C64,'Gem types'!$I$3:$I$29,'Gem types'!$K$3:$K$29))</f>
      </c>
      <c r="AK64" s="215"/>
      <c r="AL64" s="215"/>
      <c r="AM64" s="215"/>
      <c r="AN64" s="215">
        <f>IF(F64="","",LOOKUP(C64,'Gem types'!$I$3:$I$29,'Gem types'!$L$3:$L$29))</f>
      </c>
      <c r="AO64" s="215"/>
      <c r="AP64" s="215"/>
      <c r="AQ64" s="215"/>
      <c r="AS64" s="219">
        <f t="shared" si="7"/>
      </c>
      <c r="AT64" s="219"/>
    </row>
    <row r="65" spans="1:46" s="99" customFormat="1" ht="21" customHeight="1">
      <c r="A65" s="127">
        <f>'Treasurer Creator'!AC30</f>
        <v>0</v>
      </c>
      <c r="B65" s="127">
        <f ca="1" t="shared" si="5"/>
        <v>38</v>
      </c>
      <c r="C65" s="128">
        <f ca="1" t="shared" si="6"/>
        <v>20</v>
      </c>
      <c r="D65" s="128">
        <f>SUM(LOOKUP(B65,'Gem types'!$B$3:$B$55,'Gem types'!$G$3:$G$55),PRODUCT(LOOKUP(B65,'Gem types'!$B$3:$B$55,'Gem types'!$G$3:$G$55),LOOKUP(C65,'Gem types'!$I$3:$I$29,'Gem types'!$J$3:$J$29)))</f>
        <v>450</v>
      </c>
      <c r="E65" s="98">
        <f t="shared" si="8"/>
      </c>
      <c r="F65" s="213">
        <f>IF(E65="","",LOOKUP(B65,'Gem types'!B3:C55,'Gem types'!C3:C55))</f>
      </c>
      <c r="G65" s="213"/>
      <c r="H65" s="213"/>
      <c r="I65" s="213"/>
      <c r="J65" s="213"/>
      <c r="K65" s="213"/>
      <c r="L65" s="213"/>
      <c r="M65" s="213"/>
      <c r="N65" s="213"/>
      <c r="O65" s="213">
        <f>IF(E65="","",LOOKUP(B65,'Gem types'!$B$3:$C$55,'Gem types'!$D$3:$D$55))</f>
      </c>
      <c r="P65" s="213"/>
      <c r="Q65" s="213"/>
      <c r="R65" s="213"/>
      <c r="S65" s="213"/>
      <c r="T65" s="213"/>
      <c r="U65" s="213"/>
      <c r="V65" s="213"/>
      <c r="W65" s="213"/>
      <c r="X65" s="213">
        <f>IF(E65="","",LOOKUP(B65,'Gem types'!$B$3:$C$55,'Gem types'!$F$3:$F$55))</f>
      </c>
      <c r="Y65" s="213"/>
      <c r="Z65" s="213"/>
      <c r="AA65" s="213"/>
      <c r="AB65" s="213"/>
      <c r="AC65" s="213"/>
      <c r="AD65" s="213"/>
      <c r="AE65" s="213"/>
      <c r="AF65" s="215">
        <f t="shared" si="2"/>
      </c>
      <c r="AG65" s="213"/>
      <c r="AH65" s="213"/>
      <c r="AI65" s="213"/>
      <c r="AJ65" s="215">
        <f>IF(F65="","",LOOKUP(C65,'Gem types'!$I$3:$I$29,'Gem types'!$K$3:$K$29))</f>
      </c>
      <c r="AK65" s="215"/>
      <c r="AL65" s="215"/>
      <c r="AM65" s="215"/>
      <c r="AN65" s="215">
        <f>IF(F65="","",LOOKUP(C65,'Gem types'!$I$3:$I$29,'Gem types'!$L$3:$L$29))</f>
      </c>
      <c r="AO65" s="215"/>
      <c r="AP65" s="215"/>
      <c r="AQ65" s="215"/>
      <c r="AS65" s="219">
        <f t="shared" si="7"/>
      </c>
      <c r="AT65" s="219"/>
    </row>
    <row r="66" spans="1:46" s="99" customFormat="1" ht="21" customHeight="1">
      <c r="A66" s="127">
        <f>'Treasurer Creator'!AC30</f>
        <v>0</v>
      </c>
      <c r="B66" s="127">
        <f ca="1" t="shared" si="5"/>
        <v>36</v>
      </c>
      <c r="C66" s="128">
        <f ca="1" t="shared" si="6"/>
        <v>7</v>
      </c>
      <c r="D66" s="128">
        <f>SUM(LOOKUP(B66,'Gem types'!$B$3:$B$55,'Gem types'!$G$3:$G$55),PRODUCT(LOOKUP(B66,'Gem types'!$B$3:$B$55,'Gem types'!$G$3:$G$55),LOOKUP(C66,'Gem types'!$I$3:$I$29,'Gem types'!$J$3:$J$29)))</f>
        <v>1500</v>
      </c>
      <c r="E66" s="98">
        <f t="shared" si="8"/>
      </c>
      <c r="F66" s="213">
        <f>IF(E66="","",LOOKUP(B66,'Gem types'!B3:C55,'Gem types'!C3:C55))</f>
      </c>
      <c r="G66" s="213"/>
      <c r="H66" s="213"/>
      <c r="I66" s="213"/>
      <c r="J66" s="213"/>
      <c r="K66" s="213"/>
      <c r="L66" s="213"/>
      <c r="M66" s="213"/>
      <c r="N66" s="213"/>
      <c r="O66" s="213">
        <f>IF(E66="","",LOOKUP(B66,'Gem types'!$B$3:$C$55,'Gem types'!$D$3:$D$55))</f>
      </c>
      <c r="P66" s="213"/>
      <c r="Q66" s="213"/>
      <c r="R66" s="213"/>
      <c r="S66" s="213"/>
      <c r="T66" s="213"/>
      <c r="U66" s="213"/>
      <c r="V66" s="213"/>
      <c r="W66" s="213"/>
      <c r="X66" s="213">
        <f>IF(E66="","",LOOKUP(B66,'Gem types'!$B$3:$C$55,'Gem types'!$F$3:$F$55))</f>
      </c>
      <c r="Y66" s="213"/>
      <c r="Z66" s="213"/>
      <c r="AA66" s="213"/>
      <c r="AB66" s="213"/>
      <c r="AC66" s="213"/>
      <c r="AD66" s="213"/>
      <c r="AE66" s="213"/>
      <c r="AF66" s="215">
        <f t="shared" si="2"/>
      </c>
      <c r="AG66" s="213"/>
      <c r="AH66" s="213"/>
      <c r="AI66" s="213"/>
      <c r="AJ66" s="215">
        <f>IF(F66="","",LOOKUP(C66,'Gem types'!$I$3:$I$29,'Gem types'!$K$3:$K$29))</f>
      </c>
      <c r="AK66" s="215"/>
      <c r="AL66" s="215"/>
      <c r="AM66" s="215"/>
      <c r="AN66" s="215">
        <f>IF(F66="","",LOOKUP(C66,'Gem types'!$I$3:$I$29,'Gem types'!$L$3:$L$29))</f>
      </c>
      <c r="AO66" s="215"/>
      <c r="AP66" s="215"/>
      <c r="AQ66" s="215"/>
      <c r="AS66" s="219">
        <f t="shared" si="7"/>
      </c>
      <c r="AT66" s="219"/>
    </row>
    <row r="67" spans="1:46" s="99" customFormat="1" ht="21" customHeight="1">
      <c r="A67" s="127">
        <f>'Treasurer Creator'!AC30</f>
        <v>0</v>
      </c>
      <c r="B67" s="127">
        <f ca="1" t="shared" si="5"/>
        <v>40</v>
      </c>
      <c r="C67" s="128">
        <f ca="1" t="shared" si="6"/>
        <v>11</v>
      </c>
      <c r="D67" s="128">
        <f>SUM(LOOKUP(B67,'Gem types'!$B$3:$B$55,'Gem types'!$G$3:$G$55),PRODUCT(LOOKUP(B67,'Gem types'!$B$3:$B$55,'Gem types'!$G$3:$G$55),LOOKUP(C67,'Gem types'!$I$3:$I$29,'Gem types'!$J$3:$J$29)))</f>
        <v>1300</v>
      </c>
      <c r="E67" s="98">
        <f t="shared" si="8"/>
      </c>
      <c r="F67" s="213">
        <f>IF(E67="","",LOOKUP(B67,'Gem types'!B3:C55,'Gem types'!C3:C55))</f>
      </c>
      <c r="G67" s="213"/>
      <c r="H67" s="213"/>
      <c r="I67" s="213"/>
      <c r="J67" s="213"/>
      <c r="K67" s="213"/>
      <c r="L67" s="213"/>
      <c r="M67" s="213"/>
      <c r="N67" s="213"/>
      <c r="O67" s="213">
        <f>IF(E67="","",LOOKUP(B67,'Gem types'!$B$3:$C$55,'Gem types'!$D$3:$D$55))</f>
      </c>
      <c r="P67" s="213"/>
      <c r="Q67" s="213"/>
      <c r="R67" s="213"/>
      <c r="S67" s="213"/>
      <c r="T67" s="213"/>
      <c r="U67" s="213"/>
      <c r="V67" s="213"/>
      <c r="W67" s="213"/>
      <c r="X67" s="213">
        <f>IF(E67="","",LOOKUP(B67,'Gem types'!$B$3:$C$55,'Gem types'!$F$3:$F$55))</f>
      </c>
      <c r="Y67" s="213"/>
      <c r="Z67" s="213"/>
      <c r="AA67" s="213"/>
      <c r="AB67" s="213"/>
      <c r="AC67" s="213"/>
      <c r="AD67" s="213"/>
      <c r="AE67" s="213"/>
      <c r="AF67" s="215">
        <f t="shared" si="2"/>
      </c>
      <c r="AG67" s="213"/>
      <c r="AH67" s="213"/>
      <c r="AI67" s="213"/>
      <c r="AJ67" s="215">
        <f>IF(F67="","",LOOKUP(C67,'Gem types'!$I$3:$I$29,'Gem types'!$K$3:$K$29))</f>
      </c>
      <c r="AK67" s="215"/>
      <c r="AL67" s="215"/>
      <c r="AM67" s="215"/>
      <c r="AN67" s="215">
        <f>IF(F67="","",LOOKUP(C67,'Gem types'!$I$3:$I$29,'Gem types'!$L$3:$L$29))</f>
      </c>
      <c r="AO67" s="215"/>
      <c r="AP67" s="215"/>
      <c r="AQ67" s="215"/>
      <c r="AS67" s="219">
        <f t="shared" si="7"/>
      </c>
      <c r="AT67" s="219"/>
    </row>
    <row r="68" spans="1:46" s="99" customFormat="1" ht="21" customHeight="1">
      <c r="A68" s="127">
        <f>'Treasurer Creator'!AC30</f>
        <v>0</v>
      </c>
      <c r="B68" s="127">
        <f aca="true" ca="1" t="shared" si="9" ref="B68:B99">RANDBETWEEN(1,53)</f>
        <v>27</v>
      </c>
      <c r="C68" s="128">
        <f aca="true" ca="1" t="shared" si="10" ref="C68:C99">RANDBETWEEN(1,27)</f>
        <v>2</v>
      </c>
      <c r="D68" s="128">
        <f>SUM(LOOKUP(B68,'Gem types'!$B$3:$B$55,'Gem types'!$G$3:$G$55),PRODUCT(LOOKUP(B68,'Gem types'!$B$3:$B$55,'Gem types'!$G$3:$G$55),LOOKUP(C68,'Gem types'!$I$3:$I$29,'Gem types'!$J$3:$J$29)))</f>
        <v>1100</v>
      </c>
      <c r="E68" s="98">
        <f t="shared" si="8"/>
      </c>
      <c r="F68" s="213">
        <f>IF(E68="","",LOOKUP(B68,'Gem types'!B3:C55,'Gem types'!C3:C55))</f>
      </c>
      <c r="G68" s="213"/>
      <c r="H68" s="213"/>
      <c r="I68" s="213"/>
      <c r="J68" s="213"/>
      <c r="K68" s="213"/>
      <c r="L68" s="213"/>
      <c r="M68" s="213"/>
      <c r="N68" s="213"/>
      <c r="O68" s="213">
        <f>IF(E68="","",LOOKUP(B68,'Gem types'!$B$3:$C$55,'Gem types'!$D$3:$D$55))</f>
      </c>
      <c r="P68" s="213"/>
      <c r="Q68" s="213"/>
      <c r="R68" s="213"/>
      <c r="S68" s="213"/>
      <c r="T68" s="213"/>
      <c r="U68" s="213"/>
      <c r="V68" s="213"/>
      <c r="W68" s="213"/>
      <c r="X68" s="213">
        <f>IF(E68="","",LOOKUP(B68,'Gem types'!$B$3:$C$55,'Gem types'!$F$3:$F$55))</f>
      </c>
      <c r="Y68" s="213"/>
      <c r="Z68" s="213"/>
      <c r="AA68" s="213"/>
      <c r="AB68" s="213"/>
      <c r="AC68" s="213"/>
      <c r="AD68" s="213"/>
      <c r="AE68" s="213"/>
      <c r="AF68" s="215">
        <f t="shared" si="2"/>
      </c>
      <c r="AG68" s="213"/>
      <c r="AH68" s="213"/>
      <c r="AI68" s="213"/>
      <c r="AJ68" s="215">
        <f>IF(F68="","",LOOKUP(C68,'Gem types'!$I$3:$I$29,'Gem types'!$K$3:$K$29))</f>
      </c>
      <c r="AK68" s="215"/>
      <c r="AL68" s="215"/>
      <c r="AM68" s="215"/>
      <c r="AN68" s="215">
        <f>IF(F68="","",LOOKUP(C68,'Gem types'!$I$3:$I$29,'Gem types'!$L$3:$L$29))</f>
      </c>
      <c r="AO68" s="215"/>
      <c r="AP68" s="215"/>
      <c r="AQ68" s="215"/>
      <c r="AS68" s="219">
        <f aca="true" t="shared" si="11" ref="AS68:AS99">IF(E68="","",ROUNDUP(D68,0))</f>
      </c>
      <c r="AT68" s="219"/>
    </row>
    <row r="69" spans="1:46" s="99" customFormat="1" ht="21" customHeight="1">
      <c r="A69" s="127">
        <f>'Treasurer Creator'!AC30</f>
        <v>0</v>
      </c>
      <c r="B69" s="127">
        <f ca="1" t="shared" si="9"/>
        <v>11</v>
      </c>
      <c r="C69" s="128">
        <f ca="1" t="shared" si="10"/>
        <v>13</v>
      </c>
      <c r="D69" s="128">
        <f>SUM(LOOKUP(B69,'Gem types'!$B$3:$B$55,'Gem types'!$G$3:$G$55),PRODUCT(LOOKUP(B69,'Gem types'!$B$3:$B$55,'Gem types'!$G$3:$G$55),LOOKUP(C69,'Gem types'!$I$3:$I$29,'Gem types'!$J$3:$J$29)))</f>
        <v>15</v>
      </c>
      <c r="E69" s="98">
        <f aca="true" t="shared" si="12" ref="E69:E100">IF(A69&gt;E68,SUM(E68+1),"")</f>
      </c>
      <c r="F69" s="213">
        <f>IF(E69="","",LOOKUP(B69,'Gem types'!B3:C55,'Gem types'!C3:C55))</f>
      </c>
      <c r="G69" s="213"/>
      <c r="H69" s="213"/>
      <c r="I69" s="213"/>
      <c r="J69" s="213"/>
      <c r="K69" s="213"/>
      <c r="L69" s="213"/>
      <c r="M69" s="213"/>
      <c r="N69" s="213"/>
      <c r="O69" s="213">
        <f>IF(E69="","",LOOKUP(B69,'Gem types'!$B$3:$C$55,'Gem types'!$D$3:$D$55))</f>
      </c>
      <c r="P69" s="213"/>
      <c r="Q69" s="213"/>
      <c r="R69" s="213"/>
      <c r="S69" s="213"/>
      <c r="T69" s="213"/>
      <c r="U69" s="213"/>
      <c r="V69" s="213"/>
      <c r="W69" s="213"/>
      <c r="X69" s="213">
        <f>IF(E69="","",LOOKUP(B69,'Gem types'!$B$3:$C$55,'Gem types'!$F$3:$F$55))</f>
      </c>
      <c r="Y69" s="213"/>
      <c r="Z69" s="213"/>
      <c r="AA69" s="213"/>
      <c r="AB69" s="213"/>
      <c r="AC69" s="213"/>
      <c r="AD69" s="213"/>
      <c r="AE69" s="213"/>
      <c r="AF69" s="215">
        <f aca="true" t="shared" si="13" ref="AF69:AF132">IF(F69="","",CONCATENATE(AS69," g.p."))</f>
      </c>
      <c r="AG69" s="213"/>
      <c r="AH69" s="213"/>
      <c r="AI69" s="213"/>
      <c r="AJ69" s="215">
        <f>IF(F69="","",LOOKUP(C69,'Gem types'!$I$3:$I$29,'Gem types'!$K$3:$K$29))</f>
      </c>
      <c r="AK69" s="215"/>
      <c r="AL69" s="215"/>
      <c r="AM69" s="215"/>
      <c r="AN69" s="215">
        <f>IF(F69="","",LOOKUP(C69,'Gem types'!$I$3:$I$29,'Gem types'!$L$3:$L$29))</f>
      </c>
      <c r="AO69" s="215"/>
      <c r="AP69" s="215"/>
      <c r="AQ69" s="215"/>
      <c r="AS69" s="219">
        <f t="shared" si="11"/>
      </c>
      <c r="AT69" s="219"/>
    </row>
    <row r="70" spans="1:46" s="99" customFormat="1" ht="21" customHeight="1">
      <c r="A70" s="127">
        <f>'Treasurer Creator'!AC30</f>
        <v>0</v>
      </c>
      <c r="B70" s="127">
        <f ca="1" t="shared" si="9"/>
        <v>28</v>
      </c>
      <c r="C70" s="128">
        <f ca="1" t="shared" si="10"/>
        <v>7</v>
      </c>
      <c r="D70" s="128">
        <f>SUM(LOOKUP(B70,'Gem types'!$B$3:$B$55,'Gem types'!$G$3:$G$55),PRODUCT(LOOKUP(B70,'Gem types'!$B$3:$B$55,'Gem types'!$G$3:$G$55),LOOKUP(C70,'Gem types'!$I$3:$I$29,'Gem types'!$J$3:$J$29)))</f>
        <v>1500</v>
      </c>
      <c r="E70" s="98">
        <f t="shared" si="12"/>
      </c>
      <c r="F70" s="213">
        <f>IF(E70="","",LOOKUP(B70,'Gem types'!B3:C55,'Gem types'!C3:C55))</f>
      </c>
      <c r="G70" s="213"/>
      <c r="H70" s="213"/>
      <c r="I70" s="213"/>
      <c r="J70" s="213"/>
      <c r="K70" s="213"/>
      <c r="L70" s="213"/>
      <c r="M70" s="213"/>
      <c r="N70" s="213"/>
      <c r="O70" s="213">
        <f>IF(E70="","",LOOKUP(B70,'Gem types'!$B$3:$C$55,'Gem types'!$D$3:$D$55))</f>
      </c>
      <c r="P70" s="213"/>
      <c r="Q70" s="213"/>
      <c r="R70" s="213"/>
      <c r="S70" s="213"/>
      <c r="T70" s="213"/>
      <c r="U70" s="213"/>
      <c r="V70" s="213"/>
      <c r="W70" s="213"/>
      <c r="X70" s="213">
        <f>IF(E70="","",LOOKUP(B70,'Gem types'!$B$3:$C$55,'Gem types'!$F$3:$F$55))</f>
      </c>
      <c r="Y70" s="213"/>
      <c r="Z70" s="213"/>
      <c r="AA70" s="213"/>
      <c r="AB70" s="213"/>
      <c r="AC70" s="213"/>
      <c r="AD70" s="213"/>
      <c r="AE70" s="213"/>
      <c r="AF70" s="215">
        <f t="shared" si="13"/>
      </c>
      <c r="AG70" s="213"/>
      <c r="AH70" s="213"/>
      <c r="AI70" s="213"/>
      <c r="AJ70" s="215">
        <f>IF(F70="","",LOOKUP(C70,'Gem types'!$I$3:$I$29,'Gem types'!$K$3:$K$29))</f>
      </c>
      <c r="AK70" s="215"/>
      <c r="AL70" s="215"/>
      <c r="AM70" s="215"/>
      <c r="AN70" s="215">
        <f>IF(F70="","",LOOKUP(C70,'Gem types'!$I$3:$I$29,'Gem types'!$L$3:$L$29))</f>
      </c>
      <c r="AO70" s="215"/>
      <c r="AP70" s="215"/>
      <c r="AQ70" s="215"/>
      <c r="AS70" s="219">
        <f t="shared" si="11"/>
      </c>
      <c r="AT70" s="219"/>
    </row>
    <row r="71" spans="1:46" s="99" customFormat="1" ht="21" customHeight="1">
      <c r="A71" s="127">
        <f>'Treasurer Creator'!AC30</f>
        <v>0</v>
      </c>
      <c r="B71" s="127">
        <f ca="1" t="shared" si="9"/>
        <v>53</v>
      </c>
      <c r="C71" s="128">
        <f ca="1" t="shared" si="10"/>
        <v>20</v>
      </c>
      <c r="D71" s="128">
        <f>SUM(LOOKUP(B71,'Gem types'!$B$3:$B$55,'Gem types'!$G$3:$G$55),PRODUCT(LOOKUP(B71,'Gem types'!$B$3:$B$55,'Gem types'!$G$3:$G$55),LOOKUP(C71,'Gem types'!$I$3:$I$29,'Gem types'!$J$3:$J$29)))</f>
        <v>900</v>
      </c>
      <c r="E71" s="98">
        <f t="shared" si="12"/>
      </c>
      <c r="F71" s="213">
        <f>IF(E71="","",LOOKUP(B71,'Gem types'!B3:C55,'Gem types'!C3:C55))</f>
      </c>
      <c r="G71" s="213"/>
      <c r="H71" s="213"/>
      <c r="I71" s="213"/>
      <c r="J71" s="213"/>
      <c r="K71" s="213"/>
      <c r="L71" s="213"/>
      <c r="M71" s="213"/>
      <c r="N71" s="213"/>
      <c r="O71" s="213">
        <f>IF(E71="","",LOOKUP(B71,'Gem types'!$B$3:$C$55,'Gem types'!$D$3:$D$55))</f>
      </c>
      <c r="P71" s="213"/>
      <c r="Q71" s="213"/>
      <c r="R71" s="213"/>
      <c r="S71" s="213"/>
      <c r="T71" s="213"/>
      <c r="U71" s="213"/>
      <c r="V71" s="213"/>
      <c r="W71" s="213"/>
      <c r="X71" s="213">
        <f>IF(E71="","",LOOKUP(B71,'Gem types'!$B$3:$C$55,'Gem types'!$F$3:$F$55))</f>
      </c>
      <c r="Y71" s="213"/>
      <c r="Z71" s="213"/>
      <c r="AA71" s="213"/>
      <c r="AB71" s="213"/>
      <c r="AC71" s="213"/>
      <c r="AD71" s="213"/>
      <c r="AE71" s="213"/>
      <c r="AF71" s="215">
        <f t="shared" si="13"/>
      </c>
      <c r="AG71" s="213"/>
      <c r="AH71" s="213"/>
      <c r="AI71" s="213"/>
      <c r="AJ71" s="215">
        <f>IF(F71="","",LOOKUP(C71,'Gem types'!$I$3:$I$29,'Gem types'!$K$3:$K$29))</f>
      </c>
      <c r="AK71" s="215"/>
      <c r="AL71" s="215"/>
      <c r="AM71" s="215"/>
      <c r="AN71" s="215">
        <f>IF(F71="","",LOOKUP(C71,'Gem types'!$I$3:$I$29,'Gem types'!$L$3:$L$29))</f>
      </c>
      <c r="AO71" s="215"/>
      <c r="AP71" s="215"/>
      <c r="AQ71" s="215"/>
      <c r="AS71" s="219">
        <f t="shared" si="11"/>
      </c>
      <c r="AT71" s="219"/>
    </row>
    <row r="72" spans="1:46" s="99" customFormat="1" ht="21" customHeight="1">
      <c r="A72" s="127">
        <f>'Treasurer Creator'!AC30</f>
        <v>0</v>
      </c>
      <c r="B72" s="127">
        <f ca="1" t="shared" si="9"/>
        <v>33</v>
      </c>
      <c r="C72" s="128">
        <f ca="1" t="shared" si="10"/>
        <v>6</v>
      </c>
      <c r="D72" s="128">
        <f>SUM(LOOKUP(B72,'Gem types'!$B$3:$B$55,'Gem types'!$G$3:$G$55),PRODUCT(LOOKUP(B72,'Gem types'!$B$3:$B$55,'Gem types'!$G$3:$G$55),LOOKUP(C72,'Gem types'!$I$3:$I$29,'Gem types'!$J$3:$J$29)))</f>
        <v>600</v>
      </c>
      <c r="E72" s="98">
        <f t="shared" si="12"/>
      </c>
      <c r="F72" s="213">
        <f>IF(E72="","",LOOKUP(B72,'Gem types'!B3:C55,'Gem types'!C3:C55))</f>
      </c>
      <c r="G72" s="213"/>
      <c r="H72" s="213"/>
      <c r="I72" s="213"/>
      <c r="J72" s="213"/>
      <c r="K72" s="213"/>
      <c r="L72" s="213"/>
      <c r="M72" s="213"/>
      <c r="N72" s="213"/>
      <c r="O72" s="213">
        <f>IF(E72="","",LOOKUP(B72,'Gem types'!$B$3:$C$55,'Gem types'!$D$3:$D$55))</f>
      </c>
      <c r="P72" s="213"/>
      <c r="Q72" s="213"/>
      <c r="R72" s="213"/>
      <c r="S72" s="213"/>
      <c r="T72" s="213"/>
      <c r="U72" s="213"/>
      <c r="V72" s="213"/>
      <c r="W72" s="213"/>
      <c r="X72" s="213">
        <f>IF(E72="","",LOOKUP(B72,'Gem types'!$B$3:$C$55,'Gem types'!$F$3:$F$55))</f>
      </c>
      <c r="Y72" s="213"/>
      <c r="Z72" s="213"/>
      <c r="AA72" s="213"/>
      <c r="AB72" s="213"/>
      <c r="AC72" s="213"/>
      <c r="AD72" s="213"/>
      <c r="AE72" s="213"/>
      <c r="AF72" s="215">
        <f t="shared" si="13"/>
      </c>
      <c r="AG72" s="213"/>
      <c r="AH72" s="213"/>
      <c r="AI72" s="213"/>
      <c r="AJ72" s="215">
        <f>IF(F72="","",LOOKUP(C72,'Gem types'!$I$3:$I$29,'Gem types'!$K$3:$K$29))</f>
      </c>
      <c r="AK72" s="215"/>
      <c r="AL72" s="215"/>
      <c r="AM72" s="215"/>
      <c r="AN72" s="215">
        <f>IF(F72="","",LOOKUP(C72,'Gem types'!$I$3:$I$29,'Gem types'!$L$3:$L$29))</f>
      </c>
      <c r="AO72" s="215"/>
      <c r="AP72" s="215"/>
      <c r="AQ72" s="215"/>
      <c r="AS72" s="219">
        <f t="shared" si="11"/>
      </c>
      <c r="AT72" s="219"/>
    </row>
    <row r="73" spans="1:46" s="99" customFormat="1" ht="21" customHeight="1">
      <c r="A73" s="127">
        <f>'Treasurer Creator'!AC30</f>
        <v>0</v>
      </c>
      <c r="B73" s="127">
        <f ca="1" t="shared" si="9"/>
        <v>6</v>
      </c>
      <c r="C73" s="128">
        <f ca="1" t="shared" si="10"/>
        <v>15</v>
      </c>
      <c r="D73" s="128">
        <f>SUM(LOOKUP(B73,'Gem types'!$B$3:$B$55,'Gem types'!$G$3:$G$55),PRODUCT(LOOKUP(B73,'Gem types'!$B$3:$B$55,'Gem types'!$G$3:$G$55),LOOKUP(C73,'Gem types'!$I$3:$I$29,'Gem types'!$J$3:$J$29)))</f>
        <v>20</v>
      </c>
      <c r="E73" s="98">
        <f t="shared" si="12"/>
      </c>
      <c r="F73" s="213">
        <f>IF(E73="","",LOOKUP(B73,'Gem types'!B3:C55,'Gem types'!C3:C55))</f>
      </c>
      <c r="G73" s="213"/>
      <c r="H73" s="213"/>
      <c r="I73" s="213"/>
      <c r="J73" s="213"/>
      <c r="K73" s="213"/>
      <c r="L73" s="213"/>
      <c r="M73" s="213"/>
      <c r="N73" s="213"/>
      <c r="O73" s="213">
        <f>IF(E73="","",LOOKUP(B73,'Gem types'!$B$3:$C$55,'Gem types'!$D$3:$D$55))</f>
      </c>
      <c r="P73" s="213"/>
      <c r="Q73" s="213"/>
      <c r="R73" s="213"/>
      <c r="S73" s="213"/>
      <c r="T73" s="213"/>
      <c r="U73" s="213"/>
      <c r="V73" s="213"/>
      <c r="W73" s="213"/>
      <c r="X73" s="213">
        <f>IF(E73="","",LOOKUP(B73,'Gem types'!$B$3:$C$55,'Gem types'!$F$3:$F$55))</f>
      </c>
      <c r="Y73" s="213"/>
      <c r="Z73" s="213"/>
      <c r="AA73" s="213"/>
      <c r="AB73" s="213"/>
      <c r="AC73" s="213"/>
      <c r="AD73" s="213"/>
      <c r="AE73" s="213"/>
      <c r="AF73" s="215">
        <f t="shared" si="13"/>
      </c>
      <c r="AG73" s="213"/>
      <c r="AH73" s="213"/>
      <c r="AI73" s="213"/>
      <c r="AJ73" s="215">
        <f>IF(F73="","",LOOKUP(C73,'Gem types'!$I$3:$I$29,'Gem types'!$K$3:$K$29))</f>
      </c>
      <c r="AK73" s="215"/>
      <c r="AL73" s="215"/>
      <c r="AM73" s="215"/>
      <c r="AN73" s="215">
        <f>IF(F73="","",LOOKUP(C73,'Gem types'!$I$3:$I$29,'Gem types'!$L$3:$L$29))</f>
      </c>
      <c r="AO73" s="215"/>
      <c r="AP73" s="215"/>
      <c r="AQ73" s="215"/>
      <c r="AS73" s="219">
        <f t="shared" si="11"/>
      </c>
      <c r="AT73" s="219"/>
    </row>
    <row r="74" spans="1:46" s="99" customFormat="1" ht="21" customHeight="1">
      <c r="A74" s="127">
        <f>'Treasurer Creator'!AC30</f>
        <v>0</v>
      </c>
      <c r="B74" s="127">
        <f ca="1" t="shared" si="9"/>
        <v>26</v>
      </c>
      <c r="C74" s="128">
        <f ca="1" t="shared" si="10"/>
        <v>8</v>
      </c>
      <c r="D74" s="128">
        <f>SUM(LOOKUP(B74,'Gem types'!$B$3:$B$55,'Gem types'!$G$3:$G$55),PRODUCT(LOOKUP(B74,'Gem types'!$B$3:$B$55,'Gem types'!$G$3:$G$55),LOOKUP(C74,'Gem types'!$I$3:$I$29,'Gem types'!$J$3:$J$29)))</f>
        <v>300</v>
      </c>
      <c r="E74" s="98">
        <f t="shared" si="12"/>
      </c>
      <c r="F74" s="213">
        <f>IF(E74="","",LOOKUP(B74,'Gem types'!B3:C55,'Gem types'!C3:C55))</f>
      </c>
      <c r="G74" s="213"/>
      <c r="H74" s="213"/>
      <c r="I74" s="213"/>
      <c r="J74" s="213"/>
      <c r="K74" s="213"/>
      <c r="L74" s="213"/>
      <c r="M74" s="213"/>
      <c r="N74" s="213"/>
      <c r="O74" s="213">
        <f>IF(E74="","",LOOKUP(B74,'Gem types'!$B$3:$C$55,'Gem types'!$D$3:$D$55))</f>
      </c>
      <c r="P74" s="213"/>
      <c r="Q74" s="213"/>
      <c r="R74" s="213"/>
      <c r="S74" s="213"/>
      <c r="T74" s="213"/>
      <c r="U74" s="213"/>
      <c r="V74" s="213"/>
      <c r="W74" s="213"/>
      <c r="X74" s="213">
        <f>IF(E74="","",LOOKUP(B74,'Gem types'!$B$3:$C$55,'Gem types'!$F$3:$F$55))</f>
      </c>
      <c r="Y74" s="213"/>
      <c r="Z74" s="213"/>
      <c r="AA74" s="213"/>
      <c r="AB74" s="213"/>
      <c r="AC74" s="213"/>
      <c r="AD74" s="213"/>
      <c r="AE74" s="213"/>
      <c r="AF74" s="215">
        <f t="shared" si="13"/>
      </c>
      <c r="AG74" s="213"/>
      <c r="AH74" s="213"/>
      <c r="AI74" s="213"/>
      <c r="AJ74" s="215">
        <f>IF(F74="","",LOOKUP(C74,'Gem types'!$I$3:$I$29,'Gem types'!$K$3:$K$29))</f>
      </c>
      <c r="AK74" s="215"/>
      <c r="AL74" s="215"/>
      <c r="AM74" s="215"/>
      <c r="AN74" s="215">
        <f>IF(F74="","",LOOKUP(C74,'Gem types'!$I$3:$I$29,'Gem types'!$L$3:$L$29))</f>
      </c>
      <c r="AO74" s="215"/>
      <c r="AP74" s="215"/>
      <c r="AQ74" s="215"/>
      <c r="AS74" s="219">
        <f t="shared" si="11"/>
      </c>
      <c r="AT74" s="219"/>
    </row>
    <row r="75" spans="1:46" s="99" customFormat="1" ht="21" customHeight="1">
      <c r="A75" s="127">
        <f>'Treasurer Creator'!AC30</f>
        <v>0</v>
      </c>
      <c r="B75" s="127">
        <f ca="1" t="shared" si="9"/>
        <v>21</v>
      </c>
      <c r="C75" s="128">
        <f ca="1" t="shared" si="10"/>
        <v>14</v>
      </c>
      <c r="D75" s="128">
        <f>SUM(LOOKUP(B75,'Gem types'!$B$3:$B$55,'Gem types'!$G$3:$G$55),PRODUCT(LOOKUP(B75,'Gem types'!$B$3:$B$55,'Gem types'!$G$3:$G$55),LOOKUP(C75,'Gem types'!$I$3:$I$29,'Gem types'!$J$3:$J$29)))</f>
        <v>80</v>
      </c>
      <c r="E75" s="98">
        <f t="shared" si="12"/>
      </c>
      <c r="F75" s="213">
        <f>IF(E75="","",LOOKUP(B75,'Gem types'!B3:C55,'Gem types'!C3:C55))</f>
      </c>
      <c r="G75" s="213"/>
      <c r="H75" s="213"/>
      <c r="I75" s="213"/>
      <c r="J75" s="213"/>
      <c r="K75" s="213"/>
      <c r="L75" s="213"/>
      <c r="M75" s="213"/>
      <c r="N75" s="213"/>
      <c r="O75" s="213">
        <f>IF(E75="","",LOOKUP(B75,'Gem types'!$B$3:$C$55,'Gem types'!$D$3:$D$55))</f>
      </c>
      <c r="P75" s="213"/>
      <c r="Q75" s="213"/>
      <c r="R75" s="213"/>
      <c r="S75" s="213"/>
      <c r="T75" s="213"/>
      <c r="U75" s="213"/>
      <c r="V75" s="213"/>
      <c r="W75" s="213"/>
      <c r="X75" s="213">
        <f>IF(E75="","",LOOKUP(B75,'Gem types'!$B$3:$C$55,'Gem types'!$F$3:$F$55))</f>
      </c>
      <c r="Y75" s="213"/>
      <c r="Z75" s="213"/>
      <c r="AA75" s="213"/>
      <c r="AB75" s="213"/>
      <c r="AC75" s="213"/>
      <c r="AD75" s="213"/>
      <c r="AE75" s="213"/>
      <c r="AF75" s="215">
        <f t="shared" si="13"/>
      </c>
      <c r="AG75" s="213"/>
      <c r="AH75" s="213"/>
      <c r="AI75" s="213"/>
      <c r="AJ75" s="215">
        <f>IF(F75="","",LOOKUP(C75,'Gem types'!$I$3:$I$29,'Gem types'!$K$3:$K$29))</f>
      </c>
      <c r="AK75" s="215"/>
      <c r="AL75" s="215"/>
      <c r="AM75" s="215"/>
      <c r="AN75" s="215">
        <f>IF(F75="","",LOOKUP(C75,'Gem types'!$I$3:$I$29,'Gem types'!$L$3:$L$29))</f>
      </c>
      <c r="AO75" s="215"/>
      <c r="AP75" s="215"/>
      <c r="AQ75" s="215"/>
      <c r="AS75" s="219">
        <f t="shared" si="11"/>
      </c>
      <c r="AT75" s="219"/>
    </row>
    <row r="76" spans="1:46" s="99" customFormat="1" ht="21" customHeight="1">
      <c r="A76" s="127">
        <f>'Treasurer Creator'!AC30</f>
        <v>0</v>
      </c>
      <c r="B76" s="127">
        <f ca="1" t="shared" si="9"/>
        <v>26</v>
      </c>
      <c r="C76" s="128">
        <f ca="1" t="shared" si="10"/>
        <v>4</v>
      </c>
      <c r="D76" s="128">
        <f>SUM(LOOKUP(B76,'Gem types'!$B$3:$B$55,'Gem types'!$G$3:$G$55),PRODUCT(LOOKUP(B76,'Gem types'!$B$3:$B$55,'Gem types'!$G$3:$G$55),LOOKUP(C76,'Gem types'!$I$3:$I$29,'Gem types'!$J$3:$J$29)))</f>
        <v>300</v>
      </c>
      <c r="E76" s="98">
        <f t="shared" si="12"/>
      </c>
      <c r="F76" s="213">
        <f>IF(E76="","",LOOKUP(B76,'Gem types'!B3:C55,'Gem types'!C3:C55))</f>
      </c>
      <c r="G76" s="213"/>
      <c r="H76" s="213"/>
      <c r="I76" s="213"/>
      <c r="J76" s="213"/>
      <c r="K76" s="213"/>
      <c r="L76" s="213"/>
      <c r="M76" s="213"/>
      <c r="N76" s="213"/>
      <c r="O76" s="213">
        <f>IF(E76="","",LOOKUP(B76,'Gem types'!$B$3:$C$55,'Gem types'!$D$3:$D$55))</f>
      </c>
      <c r="P76" s="213"/>
      <c r="Q76" s="213"/>
      <c r="R76" s="213"/>
      <c r="S76" s="213"/>
      <c r="T76" s="213"/>
      <c r="U76" s="213"/>
      <c r="V76" s="213"/>
      <c r="W76" s="213"/>
      <c r="X76" s="213">
        <f>IF(E76="","",LOOKUP(B76,'Gem types'!$B$3:$C$55,'Gem types'!$F$3:$F$55))</f>
      </c>
      <c r="Y76" s="213"/>
      <c r="Z76" s="213"/>
      <c r="AA76" s="213"/>
      <c r="AB76" s="213"/>
      <c r="AC76" s="213"/>
      <c r="AD76" s="213"/>
      <c r="AE76" s="213"/>
      <c r="AF76" s="215">
        <f t="shared" si="13"/>
      </c>
      <c r="AG76" s="213"/>
      <c r="AH76" s="213"/>
      <c r="AI76" s="213"/>
      <c r="AJ76" s="215">
        <f>IF(F76="","",LOOKUP(C76,'Gem types'!$I$3:$I$29,'Gem types'!$K$3:$K$29))</f>
      </c>
      <c r="AK76" s="215"/>
      <c r="AL76" s="215"/>
      <c r="AM76" s="215"/>
      <c r="AN76" s="215">
        <f>IF(F76="","",LOOKUP(C76,'Gem types'!$I$3:$I$29,'Gem types'!$L$3:$L$29))</f>
      </c>
      <c r="AO76" s="215"/>
      <c r="AP76" s="215"/>
      <c r="AQ76" s="215"/>
      <c r="AS76" s="219">
        <f t="shared" si="11"/>
      </c>
      <c r="AT76" s="219"/>
    </row>
    <row r="77" spans="1:46" s="99" customFormat="1" ht="21" customHeight="1">
      <c r="A77" s="127">
        <f>'Treasurer Creator'!AC30</f>
        <v>0</v>
      </c>
      <c r="B77" s="127">
        <f ca="1" t="shared" si="9"/>
        <v>50</v>
      </c>
      <c r="C77" s="128">
        <f ca="1" t="shared" si="10"/>
        <v>8</v>
      </c>
      <c r="D77" s="128">
        <f>SUM(LOOKUP(B77,'Gem types'!$B$3:$B$55,'Gem types'!$G$3:$G$55),PRODUCT(LOOKUP(B77,'Gem types'!$B$3:$B$55,'Gem types'!$G$3:$G$55),LOOKUP(C77,'Gem types'!$I$3:$I$29,'Gem types'!$J$3:$J$29)))</f>
        <v>15000</v>
      </c>
      <c r="E77" s="98">
        <f t="shared" si="12"/>
      </c>
      <c r="F77" s="213">
        <f>IF(E77="","",LOOKUP(B77,'Gem types'!B3:C55,'Gem types'!C3:C55))</f>
      </c>
      <c r="G77" s="213"/>
      <c r="H77" s="213"/>
      <c r="I77" s="213"/>
      <c r="J77" s="213"/>
      <c r="K77" s="213"/>
      <c r="L77" s="213"/>
      <c r="M77" s="213"/>
      <c r="N77" s="213"/>
      <c r="O77" s="213">
        <f>IF(E77="","",LOOKUP(B77,'Gem types'!$B$3:$C$55,'Gem types'!$D$3:$D$55))</f>
      </c>
      <c r="P77" s="213"/>
      <c r="Q77" s="213"/>
      <c r="R77" s="213"/>
      <c r="S77" s="213"/>
      <c r="T77" s="213"/>
      <c r="U77" s="213"/>
      <c r="V77" s="213"/>
      <c r="W77" s="213"/>
      <c r="X77" s="213">
        <f>IF(E77="","",LOOKUP(B77,'Gem types'!$B$3:$C$55,'Gem types'!$F$3:$F$55))</f>
      </c>
      <c r="Y77" s="213"/>
      <c r="Z77" s="213"/>
      <c r="AA77" s="213"/>
      <c r="AB77" s="213"/>
      <c r="AC77" s="213"/>
      <c r="AD77" s="213"/>
      <c r="AE77" s="213"/>
      <c r="AF77" s="215">
        <f t="shared" si="13"/>
      </c>
      <c r="AG77" s="213"/>
      <c r="AH77" s="213"/>
      <c r="AI77" s="213"/>
      <c r="AJ77" s="215">
        <f>IF(F77="","",LOOKUP(C77,'Gem types'!$I$3:$I$29,'Gem types'!$K$3:$K$29))</f>
      </c>
      <c r="AK77" s="215"/>
      <c r="AL77" s="215"/>
      <c r="AM77" s="215"/>
      <c r="AN77" s="215">
        <f>IF(F77="","",LOOKUP(C77,'Gem types'!$I$3:$I$29,'Gem types'!$L$3:$L$29))</f>
      </c>
      <c r="AO77" s="215"/>
      <c r="AP77" s="215"/>
      <c r="AQ77" s="215"/>
      <c r="AS77" s="219">
        <f t="shared" si="11"/>
      </c>
      <c r="AT77" s="219"/>
    </row>
    <row r="78" spans="1:46" s="99" customFormat="1" ht="21" customHeight="1">
      <c r="A78" s="127">
        <f>'Treasurer Creator'!AC30</f>
        <v>0</v>
      </c>
      <c r="B78" s="127">
        <f ca="1" t="shared" si="9"/>
        <v>45</v>
      </c>
      <c r="C78" s="128">
        <f ca="1" t="shared" si="10"/>
        <v>16</v>
      </c>
      <c r="D78" s="128">
        <f>SUM(LOOKUP(B78,'Gem types'!$B$3:$B$55,'Gem types'!$G$3:$G$55),PRODUCT(LOOKUP(B78,'Gem types'!$B$3:$B$55,'Gem types'!$G$3:$G$55),LOOKUP(C78,'Gem types'!$I$3:$I$29,'Gem types'!$J$3:$J$29)))</f>
        <v>15000</v>
      </c>
      <c r="E78" s="98">
        <f t="shared" si="12"/>
      </c>
      <c r="F78" s="213">
        <f>IF(E78="","",LOOKUP(B78,'Gem types'!B3:C55,'Gem types'!C3:C55))</f>
      </c>
      <c r="G78" s="213"/>
      <c r="H78" s="213"/>
      <c r="I78" s="213"/>
      <c r="J78" s="213"/>
      <c r="K78" s="213"/>
      <c r="L78" s="213"/>
      <c r="M78" s="213"/>
      <c r="N78" s="213"/>
      <c r="O78" s="213">
        <f>IF(E78="","",LOOKUP(B78,'Gem types'!$B$3:$C$55,'Gem types'!$D$3:$D$55))</f>
      </c>
      <c r="P78" s="213"/>
      <c r="Q78" s="213"/>
      <c r="R78" s="213"/>
      <c r="S78" s="213"/>
      <c r="T78" s="213"/>
      <c r="U78" s="213"/>
      <c r="V78" s="213"/>
      <c r="W78" s="213"/>
      <c r="X78" s="213">
        <f>IF(E78="","",LOOKUP(B78,'Gem types'!$B$3:$C$55,'Gem types'!$F$3:$F$55))</f>
      </c>
      <c r="Y78" s="213"/>
      <c r="Z78" s="213"/>
      <c r="AA78" s="213"/>
      <c r="AB78" s="213"/>
      <c r="AC78" s="213"/>
      <c r="AD78" s="213"/>
      <c r="AE78" s="213"/>
      <c r="AF78" s="215">
        <f t="shared" si="13"/>
      </c>
      <c r="AG78" s="213"/>
      <c r="AH78" s="213"/>
      <c r="AI78" s="213"/>
      <c r="AJ78" s="215">
        <f>IF(F78="","",LOOKUP(C78,'Gem types'!$I$3:$I$29,'Gem types'!$K$3:$K$29))</f>
      </c>
      <c r="AK78" s="215"/>
      <c r="AL78" s="215"/>
      <c r="AM78" s="215"/>
      <c r="AN78" s="215">
        <f>IF(F78="","",LOOKUP(C78,'Gem types'!$I$3:$I$29,'Gem types'!$L$3:$L$29))</f>
      </c>
      <c r="AO78" s="215"/>
      <c r="AP78" s="215"/>
      <c r="AQ78" s="215"/>
      <c r="AS78" s="219">
        <f t="shared" si="11"/>
      </c>
      <c r="AT78" s="219"/>
    </row>
    <row r="79" spans="1:46" s="99" customFormat="1" ht="21" customHeight="1">
      <c r="A79" s="127">
        <f>'Treasurer Creator'!AC30</f>
        <v>0</v>
      </c>
      <c r="B79" s="127">
        <f ca="1" t="shared" si="9"/>
        <v>22</v>
      </c>
      <c r="C79" s="128">
        <f ca="1" t="shared" si="10"/>
        <v>22</v>
      </c>
      <c r="D79" s="128">
        <f>SUM(LOOKUP(B79,'Gem types'!$B$3:$B$55,'Gem types'!$G$3:$G$55),PRODUCT(LOOKUP(B79,'Gem types'!$B$3:$B$55,'Gem types'!$G$3:$G$55),LOOKUP(C79,'Gem types'!$I$3:$I$29,'Gem types'!$J$3:$J$29)))</f>
        <v>35</v>
      </c>
      <c r="E79" s="98">
        <f t="shared" si="12"/>
      </c>
      <c r="F79" s="213">
        <f>IF(E79="","",LOOKUP(B79,'Gem types'!B3:C55,'Gem types'!C3:C55))</f>
      </c>
      <c r="G79" s="213"/>
      <c r="H79" s="213"/>
      <c r="I79" s="213"/>
      <c r="J79" s="213"/>
      <c r="K79" s="213"/>
      <c r="L79" s="213"/>
      <c r="M79" s="213"/>
      <c r="N79" s="213"/>
      <c r="O79" s="213">
        <f>IF(E79="","",LOOKUP(B79,'Gem types'!$B$3:$C$55,'Gem types'!$D$3:$D$55))</f>
      </c>
      <c r="P79" s="213"/>
      <c r="Q79" s="213"/>
      <c r="R79" s="213"/>
      <c r="S79" s="213"/>
      <c r="T79" s="213"/>
      <c r="U79" s="213"/>
      <c r="V79" s="213"/>
      <c r="W79" s="213"/>
      <c r="X79" s="213">
        <f>IF(E79="","",LOOKUP(B79,'Gem types'!$B$3:$C$55,'Gem types'!$F$3:$F$55))</f>
      </c>
      <c r="Y79" s="213"/>
      <c r="Z79" s="213"/>
      <c r="AA79" s="213"/>
      <c r="AB79" s="213"/>
      <c r="AC79" s="213"/>
      <c r="AD79" s="213"/>
      <c r="AE79" s="213"/>
      <c r="AF79" s="215">
        <f t="shared" si="13"/>
      </c>
      <c r="AG79" s="213"/>
      <c r="AH79" s="213"/>
      <c r="AI79" s="213"/>
      <c r="AJ79" s="215">
        <f>IF(F79="","",LOOKUP(C79,'Gem types'!$I$3:$I$29,'Gem types'!$K$3:$K$29))</f>
      </c>
      <c r="AK79" s="215"/>
      <c r="AL79" s="215"/>
      <c r="AM79" s="215"/>
      <c r="AN79" s="215">
        <f>IF(F79="","",LOOKUP(C79,'Gem types'!$I$3:$I$29,'Gem types'!$L$3:$L$29))</f>
      </c>
      <c r="AO79" s="215"/>
      <c r="AP79" s="215"/>
      <c r="AQ79" s="215"/>
      <c r="AS79" s="219">
        <f t="shared" si="11"/>
      </c>
      <c r="AT79" s="219"/>
    </row>
    <row r="80" spans="1:46" s="99" customFormat="1" ht="21" customHeight="1">
      <c r="A80" s="127">
        <f>'Treasurer Creator'!AC30</f>
        <v>0</v>
      </c>
      <c r="B80" s="127">
        <f ca="1" t="shared" si="9"/>
        <v>38</v>
      </c>
      <c r="C80" s="128">
        <f ca="1" t="shared" si="10"/>
        <v>21</v>
      </c>
      <c r="D80" s="128">
        <f>SUM(LOOKUP(B80,'Gem types'!$B$3:$B$55,'Gem types'!$G$3:$G$55),PRODUCT(LOOKUP(B80,'Gem types'!$B$3:$B$55,'Gem types'!$G$3:$G$55),LOOKUP(C80,'Gem types'!$I$3:$I$29,'Gem types'!$J$3:$J$29)))</f>
        <v>400</v>
      </c>
      <c r="E80" s="98">
        <f t="shared" si="12"/>
      </c>
      <c r="F80" s="213">
        <f>IF(E80="","",LOOKUP(B80,'Gem types'!B3:C55,'Gem types'!C3:C55))</f>
      </c>
      <c r="G80" s="213"/>
      <c r="H80" s="213"/>
      <c r="I80" s="213"/>
      <c r="J80" s="213"/>
      <c r="K80" s="213"/>
      <c r="L80" s="213"/>
      <c r="M80" s="213"/>
      <c r="N80" s="213"/>
      <c r="O80" s="213">
        <f>IF(E80="","",LOOKUP(B80,'Gem types'!$B$3:$C$55,'Gem types'!$D$3:$D$55))</f>
      </c>
      <c r="P80" s="213"/>
      <c r="Q80" s="213"/>
      <c r="R80" s="213"/>
      <c r="S80" s="213"/>
      <c r="T80" s="213"/>
      <c r="U80" s="213"/>
      <c r="V80" s="213"/>
      <c r="W80" s="213"/>
      <c r="X80" s="213">
        <f>IF(E80="","",LOOKUP(B80,'Gem types'!$B$3:$C$55,'Gem types'!$F$3:$F$55))</f>
      </c>
      <c r="Y80" s="213"/>
      <c r="Z80" s="213"/>
      <c r="AA80" s="213"/>
      <c r="AB80" s="213"/>
      <c r="AC80" s="213"/>
      <c r="AD80" s="213"/>
      <c r="AE80" s="213"/>
      <c r="AF80" s="215">
        <f t="shared" si="13"/>
      </c>
      <c r="AG80" s="213"/>
      <c r="AH80" s="213"/>
      <c r="AI80" s="213"/>
      <c r="AJ80" s="215">
        <f>IF(F80="","",LOOKUP(C80,'Gem types'!$I$3:$I$29,'Gem types'!$K$3:$K$29))</f>
      </c>
      <c r="AK80" s="215"/>
      <c r="AL80" s="215"/>
      <c r="AM80" s="215"/>
      <c r="AN80" s="215">
        <f>IF(F80="","",LOOKUP(C80,'Gem types'!$I$3:$I$29,'Gem types'!$L$3:$L$29))</f>
      </c>
      <c r="AO80" s="215"/>
      <c r="AP80" s="215"/>
      <c r="AQ80" s="215"/>
      <c r="AS80" s="219">
        <f t="shared" si="11"/>
      </c>
      <c r="AT80" s="219"/>
    </row>
    <row r="81" spans="1:46" s="99" customFormat="1" ht="21" customHeight="1">
      <c r="A81" s="127">
        <f>'Treasurer Creator'!AC30</f>
        <v>0</v>
      </c>
      <c r="B81" s="127">
        <f ca="1" t="shared" si="9"/>
        <v>41</v>
      </c>
      <c r="C81" s="128">
        <f ca="1" t="shared" si="10"/>
        <v>27</v>
      </c>
      <c r="D81" s="128">
        <f>SUM(LOOKUP(B81,'Gem types'!$B$3:$B$55,'Gem types'!$G$3:$G$55),PRODUCT(LOOKUP(B81,'Gem types'!$B$3:$B$55,'Gem types'!$G$3:$G$55),LOOKUP(C81,'Gem types'!$I$3:$I$29,'Gem types'!$J$3:$J$29)))</f>
        <v>1000</v>
      </c>
      <c r="E81" s="98">
        <f t="shared" si="12"/>
      </c>
      <c r="F81" s="213">
        <f>IF(E81="","",LOOKUP(B81,'Gem types'!B3:C55,'Gem types'!C3:C55))</f>
      </c>
      <c r="G81" s="213"/>
      <c r="H81" s="213"/>
      <c r="I81" s="213"/>
      <c r="J81" s="213"/>
      <c r="K81" s="213"/>
      <c r="L81" s="213"/>
      <c r="M81" s="213"/>
      <c r="N81" s="213"/>
      <c r="O81" s="213">
        <f>IF(E81="","",LOOKUP(B81,'Gem types'!$B$3:$C$55,'Gem types'!$D$3:$D$55))</f>
      </c>
      <c r="P81" s="213"/>
      <c r="Q81" s="213"/>
      <c r="R81" s="213"/>
      <c r="S81" s="213"/>
      <c r="T81" s="213"/>
      <c r="U81" s="213"/>
      <c r="V81" s="213"/>
      <c r="W81" s="213"/>
      <c r="X81" s="213">
        <f>IF(E81="","",LOOKUP(B81,'Gem types'!$B$3:$C$55,'Gem types'!$F$3:$F$55))</f>
      </c>
      <c r="Y81" s="213"/>
      <c r="Z81" s="213"/>
      <c r="AA81" s="213"/>
      <c r="AB81" s="213"/>
      <c r="AC81" s="213"/>
      <c r="AD81" s="213"/>
      <c r="AE81" s="213"/>
      <c r="AF81" s="215">
        <f t="shared" si="13"/>
      </c>
      <c r="AG81" s="213"/>
      <c r="AH81" s="213"/>
      <c r="AI81" s="213"/>
      <c r="AJ81" s="215">
        <f>IF(F81="","",LOOKUP(C81,'Gem types'!$I$3:$I$29,'Gem types'!$K$3:$K$29))</f>
      </c>
      <c r="AK81" s="215"/>
      <c r="AL81" s="215"/>
      <c r="AM81" s="215"/>
      <c r="AN81" s="215">
        <f>IF(F81="","",LOOKUP(C81,'Gem types'!$I$3:$I$29,'Gem types'!$L$3:$L$29))</f>
      </c>
      <c r="AO81" s="215"/>
      <c r="AP81" s="215"/>
      <c r="AQ81" s="215"/>
      <c r="AS81" s="219">
        <f t="shared" si="11"/>
      </c>
      <c r="AT81" s="219"/>
    </row>
    <row r="82" spans="1:46" s="99" customFormat="1" ht="21" customHeight="1">
      <c r="A82" s="127">
        <f>'Treasurer Creator'!AC30</f>
        <v>0</v>
      </c>
      <c r="B82" s="127">
        <f ca="1" t="shared" si="9"/>
        <v>22</v>
      </c>
      <c r="C82" s="128">
        <f ca="1" t="shared" si="10"/>
        <v>23</v>
      </c>
      <c r="D82" s="128">
        <f>SUM(LOOKUP(B82,'Gem types'!$B$3:$B$55,'Gem types'!$G$3:$G$55),PRODUCT(LOOKUP(B82,'Gem types'!$B$3:$B$55,'Gem types'!$G$3:$G$55),LOOKUP(C82,'Gem types'!$I$3:$I$29,'Gem types'!$J$3:$J$29)))</f>
        <v>30</v>
      </c>
      <c r="E82" s="98">
        <f t="shared" si="12"/>
      </c>
      <c r="F82" s="213">
        <f>IF(E82="","",LOOKUP(B82,'Gem types'!B3:C55,'Gem types'!C3:C55))</f>
      </c>
      <c r="G82" s="213"/>
      <c r="H82" s="213"/>
      <c r="I82" s="213"/>
      <c r="J82" s="213"/>
      <c r="K82" s="213"/>
      <c r="L82" s="213"/>
      <c r="M82" s="213"/>
      <c r="N82" s="213"/>
      <c r="O82" s="213">
        <f>IF(E82="","",LOOKUP(B82,'Gem types'!$B$3:$C$55,'Gem types'!$D$3:$D$55))</f>
      </c>
      <c r="P82" s="213"/>
      <c r="Q82" s="213"/>
      <c r="R82" s="213"/>
      <c r="S82" s="213"/>
      <c r="T82" s="213"/>
      <c r="U82" s="213"/>
      <c r="V82" s="213"/>
      <c r="W82" s="213"/>
      <c r="X82" s="213">
        <f>IF(E82="","",LOOKUP(B82,'Gem types'!$B$3:$C$55,'Gem types'!$F$3:$F$55))</f>
      </c>
      <c r="Y82" s="213"/>
      <c r="Z82" s="213"/>
      <c r="AA82" s="213"/>
      <c r="AB82" s="213"/>
      <c r="AC82" s="213"/>
      <c r="AD82" s="213"/>
      <c r="AE82" s="213"/>
      <c r="AF82" s="215">
        <f t="shared" si="13"/>
      </c>
      <c r="AG82" s="213"/>
      <c r="AH82" s="213"/>
      <c r="AI82" s="213"/>
      <c r="AJ82" s="215">
        <f>IF(F82="","",LOOKUP(C82,'Gem types'!$I$3:$I$29,'Gem types'!$K$3:$K$29))</f>
      </c>
      <c r="AK82" s="215"/>
      <c r="AL82" s="215"/>
      <c r="AM82" s="215"/>
      <c r="AN82" s="215">
        <f>IF(F82="","",LOOKUP(C82,'Gem types'!$I$3:$I$29,'Gem types'!$L$3:$L$29))</f>
      </c>
      <c r="AO82" s="215"/>
      <c r="AP82" s="215"/>
      <c r="AQ82" s="215"/>
      <c r="AS82" s="219">
        <f t="shared" si="11"/>
      </c>
      <c r="AT82" s="219"/>
    </row>
    <row r="83" spans="1:46" s="99" customFormat="1" ht="21" customHeight="1">
      <c r="A83" s="127">
        <f>'Treasurer Creator'!AC30</f>
        <v>0</v>
      </c>
      <c r="B83" s="127">
        <f ca="1" t="shared" si="9"/>
        <v>20</v>
      </c>
      <c r="C83" s="128">
        <f ca="1" t="shared" si="10"/>
        <v>14</v>
      </c>
      <c r="D83" s="128">
        <f>SUM(LOOKUP(B83,'Gem types'!$B$3:$B$55,'Gem types'!$G$3:$G$55),PRODUCT(LOOKUP(B83,'Gem types'!$B$3:$B$55,'Gem types'!$G$3:$G$55),LOOKUP(C83,'Gem types'!$I$3:$I$29,'Gem types'!$J$3:$J$29)))</f>
        <v>80</v>
      </c>
      <c r="E83" s="98">
        <f t="shared" si="12"/>
      </c>
      <c r="F83" s="213">
        <f>IF(E83="","",LOOKUP(B83,'Gem types'!B3:C55,'Gem types'!C3:C55))</f>
      </c>
      <c r="G83" s="213"/>
      <c r="H83" s="213"/>
      <c r="I83" s="213"/>
      <c r="J83" s="213"/>
      <c r="K83" s="213"/>
      <c r="L83" s="213"/>
      <c r="M83" s="213"/>
      <c r="N83" s="213"/>
      <c r="O83" s="213">
        <f>IF(E83="","",LOOKUP(B83,'Gem types'!$B$3:$C$55,'Gem types'!$D$3:$D$55))</f>
      </c>
      <c r="P83" s="213"/>
      <c r="Q83" s="213"/>
      <c r="R83" s="213"/>
      <c r="S83" s="213"/>
      <c r="T83" s="213"/>
      <c r="U83" s="213"/>
      <c r="V83" s="213"/>
      <c r="W83" s="213"/>
      <c r="X83" s="213">
        <f>IF(E83="","",LOOKUP(B83,'Gem types'!$B$3:$C$55,'Gem types'!$F$3:$F$55))</f>
      </c>
      <c r="Y83" s="213"/>
      <c r="Z83" s="213"/>
      <c r="AA83" s="213"/>
      <c r="AB83" s="213"/>
      <c r="AC83" s="213"/>
      <c r="AD83" s="213"/>
      <c r="AE83" s="213"/>
      <c r="AF83" s="215">
        <f t="shared" si="13"/>
      </c>
      <c r="AG83" s="213"/>
      <c r="AH83" s="213"/>
      <c r="AI83" s="213"/>
      <c r="AJ83" s="215">
        <f>IF(F83="","",LOOKUP(C83,'Gem types'!$I$3:$I$29,'Gem types'!$K$3:$K$29))</f>
      </c>
      <c r="AK83" s="215"/>
      <c r="AL83" s="215"/>
      <c r="AM83" s="215"/>
      <c r="AN83" s="215">
        <f>IF(F83="","",LOOKUP(C83,'Gem types'!$I$3:$I$29,'Gem types'!$L$3:$L$29))</f>
      </c>
      <c r="AO83" s="215"/>
      <c r="AP83" s="215"/>
      <c r="AQ83" s="215"/>
      <c r="AS83" s="219">
        <f t="shared" si="11"/>
      </c>
      <c r="AT83" s="219"/>
    </row>
    <row r="84" spans="1:46" s="99" customFormat="1" ht="21" customHeight="1">
      <c r="A84" s="127">
        <f>'Treasurer Creator'!AC30</f>
        <v>0</v>
      </c>
      <c r="B84" s="127">
        <f ca="1" t="shared" si="9"/>
        <v>16</v>
      </c>
      <c r="C84" s="128">
        <f ca="1" t="shared" si="10"/>
        <v>12</v>
      </c>
      <c r="D84" s="128">
        <f>SUM(LOOKUP(B84,'Gem types'!$B$3:$B$55,'Gem types'!$G$3:$G$55),PRODUCT(LOOKUP(B84,'Gem types'!$B$3:$B$55,'Gem types'!$G$3:$G$55),LOOKUP(C84,'Gem types'!$I$3:$I$29,'Gem types'!$J$3:$J$29)))</f>
        <v>70</v>
      </c>
      <c r="E84" s="98">
        <f t="shared" si="12"/>
      </c>
      <c r="F84" s="213">
        <f>IF(E84="","",LOOKUP(B84,'Gem types'!B3:C55,'Gem types'!C3:C55))</f>
      </c>
      <c r="G84" s="213"/>
      <c r="H84" s="213"/>
      <c r="I84" s="213"/>
      <c r="J84" s="213"/>
      <c r="K84" s="213"/>
      <c r="L84" s="213"/>
      <c r="M84" s="213"/>
      <c r="N84" s="213"/>
      <c r="O84" s="213">
        <f>IF(E84="","",LOOKUP(B84,'Gem types'!$B$3:$C$55,'Gem types'!$D$3:$D$55))</f>
      </c>
      <c r="P84" s="213"/>
      <c r="Q84" s="213"/>
      <c r="R84" s="213"/>
      <c r="S84" s="213"/>
      <c r="T84" s="213"/>
      <c r="U84" s="213"/>
      <c r="V84" s="213"/>
      <c r="W84" s="213"/>
      <c r="X84" s="213">
        <f>IF(E84="","",LOOKUP(B84,'Gem types'!$B$3:$C$55,'Gem types'!$F$3:$F$55))</f>
      </c>
      <c r="Y84" s="213"/>
      <c r="Z84" s="213"/>
      <c r="AA84" s="213"/>
      <c r="AB84" s="213"/>
      <c r="AC84" s="213"/>
      <c r="AD84" s="213"/>
      <c r="AE84" s="213"/>
      <c r="AF84" s="215">
        <f t="shared" si="13"/>
      </c>
      <c r="AG84" s="213"/>
      <c r="AH84" s="213"/>
      <c r="AI84" s="213"/>
      <c r="AJ84" s="215">
        <f>IF(F84="","",LOOKUP(C84,'Gem types'!$I$3:$I$29,'Gem types'!$K$3:$K$29))</f>
      </c>
      <c r="AK84" s="215"/>
      <c r="AL84" s="215"/>
      <c r="AM84" s="215"/>
      <c r="AN84" s="215">
        <f>IF(F84="","",LOOKUP(C84,'Gem types'!$I$3:$I$29,'Gem types'!$L$3:$L$29))</f>
      </c>
      <c r="AO84" s="215"/>
      <c r="AP84" s="215"/>
      <c r="AQ84" s="215"/>
      <c r="AS84" s="219">
        <f t="shared" si="11"/>
      </c>
      <c r="AT84" s="219"/>
    </row>
    <row r="85" spans="1:46" s="99" customFormat="1" ht="21" customHeight="1">
      <c r="A85" s="127">
        <f>'Treasurer Creator'!AC30</f>
        <v>0</v>
      </c>
      <c r="B85" s="127">
        <f ca="1" t="shared" si="9"/>
        <v>33</v>
      </c>
      <c r="C85" s="128">
        <f ca="1" t="shared" si="10"/>
        <v>23</v>
      </c>
      <c r="D85" s="128">
        <f>SUM(LOOKUP(B85,'Gem types'!$B$3:$B$55,'Gem types'!$G$3:$G$55),PRODUCT(LOOKUP(B85,'Gem types'!$B$3:$B$55,'Gem types'!$G$3:$G$55),LOOKUP(C85,'Gem types'!$I$3:$I$29,'Gem types'!$J$3:$J$29)))</f>
        <v>60</v>
      </c>
      <c r="E85" s="98">
        <f t="shared" si="12"/>
      </c>
      <c r="F85" s="213">
        <f>IF(E85="","",LOOKUP(B85,'Gem types'!B3:C55,'Gem types'!C3:C55))</f>
      </c>
      <c r="G85" s="213"/>
      <c r="H85" s="213"/>
      <c r="I85" s="213"/>
      <c r="J85" s="213"/>
      <c r="K85" s="213"/>
      <c r="L85" s="213"/>
      <c r="M85" s="213"/>
      <c r="N85" s="213"/>
      <c r="O85" s="213">
        <f>IF(E85="","",LOOKUP(B85,'Gem types'!$B$3:$C$55,'Gem types'!$D$3:$D$55))</f>
      </c>
      <c r="P85" s="213"/>
      <c r="Q85" s="213"/>
      <c r="R85" s="213"/>
      <c r="S85" s="213"/>
      <c r="T85" s="213"/>
      <c r="U85" s="213"/>
      <c r="V85" s="213"/>
      <c r="W85" s="213"/>
      <c r="X85" s="213">
        <f>IF(E85="","",LOOKUP(B85,'Gem types'!$B$3:$C$55,'Gem types'!$F$3:$F$55))</f>
      </c>
      <c r="Y85" s="213"/>
      <c r="Z85" s="213"/>
      <c r="AA85" s="213"/>
      <c r="AB85" s="213"/>
      <c r="AC85" s="213"/>
      <c r="AD85" s="213"/>
      <c r="AE85" s="213"/>
      <c r="AF85" s="215">
        <f t="shared" si="13"/>
      </c>
      <c r="AG85" s="213"/>
      <c r="AH85" s="213"/>
      <c r="AI85" s="213"/>
      <c r="AJ85" s="215">
        <f>IF(F85="","",LOOKUP(C85,'Gem types'!$I$3:$I$29,'Gem types'!$K$3:$K$29))</f>
      </c>
      <c r="AK85" s="215"/>
      <c r="AL85" s="215"/>
      <c r="AM85" s="215"/>
      <c r="AN85" s="215">
        <f>IF(F85="","",LOOKUP(C85,'Gem types'!$I$3:$I$29,'Gem types'!$L$3:$L$29))</f>
      </c>
      <c r="AO85" s="215"/>
      <c r="AP85" s="215"/>
      <c r="AQ85" s="215"/>
      <c r="AS85" s="219">
        <f t="shared" si="11"/>
      </c>
      <c r="AT85" s="219"/>
    </row>
    <row r="86" spans="1:46" s="99" customFormat="1" ht="21" customHeight="1">
      <c r="A86" s="127">
        <f>'Treasurer Creator'!AC30</f>
        <v>0</v>
      </c>
      <c r="B86" s="127">
        <f ca="1" t="shared" si="9"/>
        <v>53</v>
      </c>
      <c r="C86" s="128">
        <f ca="1" t="shared" si="10"/>
        <v>21</v>
      </c>
      <c r="D86" s="128">
        <f>SUM(LOOKUP(B86,'Gem types'!$B$3:$B$55,'Gem types'!$G$3:$G$55),PRODUCT(LOOKUP(B86,'Gem types'!$B$3:$B$55,'Gem types'!$G$3:$G$55),LOOKUP(C86,'Gem types'!$I$3:$I$29,'Gem types'!$J$3:$J$29)))</f>
        <v>800</v>
      </c>
      <c r="E86" s="98">
        <f t="shared" si="12"/>
      </c>
      <c r="F86" s="213">
        <f>IF(E86="","",LOOKUP(B86,'Gem types'!B3:C55,'Gem types'!C3:C55))</f>
      </c>
      <c r="G86" s="213"/>
      <c r="H86" s="213"/>
      <c r="I86" s="213"/>
      <c r="J86" s="213"/>
      <c r="K86" s="213"/>
      <c r="L86" s="213"/>
      <c r="M86" s="213"/>
      <c r="N86" s="213"/>
      <c r="O86" s="213">
        <f>IF(E86="","",LOOKUP(B86,'Gem types'!$B$3:$C$55,'Gem types'!$D$3:$D$55))</f>
      </c>
      <c r="P86" s="213"/>
      <c r="Q86" s="213"/>
      <c r="R86" s="213"/>
      <c r="S86" s="213"/>
      <c r="T86" s="213"/>
      <c r="U86" s="213"/>
      <c r="V86" s="213"/>
      <c r="W86" s="213"/>
      <c r="X86" s="213">
        <f>IF(E86="","",LOOKUP(B86,'Gem types'!$B$3:$C$55,'Gem types'!$F$3:$F$55))</f>
      </c>
      <c r="Y86" s="213"/>
      <c r="Z86" s="213"/>
      <c r="AA86" s="213"/>
      <c r="AB86" s="213"/>
      <c r="AC86" s="213"/>
      <c r="AD86" s="213"/>
      <c r="AE86" s="213"/>
      <c r="AF86" s="215">
        <f t="shared" si="13"/>
      </c>
      <c r="AG86" s="213"/>
      <c r="AH86" s="213"/>
      <c r="AI86" s="213"/>
      <c r="AJ86" s="215">
        <f>IF(F86="","",LOOKUP(C86,'Gem types'!$I$3:$I$29,'Gem types'!$K$3:$K$29))</f>
      </c>
      <c r="AK86" s="215"/>
      <c r="AL86" s="215"/>
      <c r="AM86" s="215"/>
      <c r="AN86" s="215">
        <f>IF(F86="","",LOOKUP(C86,'Gem types'!$I$3:$I$29,'Gem types'!$L$3:$L$29))</f>
      </c>
      <c r="AO86" s="215"/>
      <c r="AP86" s="215"/>
      <c r="AQ86" s="215"/>
      <c r="AS86" s="219">
        <f t="shared" si="11"/>
      </c>
      <c r="AT86" s="219"/>
    </row>
    <row r="87" spans="1:46" s="99" customFormat="1" ht="21" customHeight="1">
      <c r="A87" s="127">
        <f>'Treasurer Creator'!AC30</f>
        <v>0</v>
      </c>
      <c r="B87" s="127">
        <f ca="1" t="shared" si="9"/>
        <v>33</v>
      </c>
      <c r="C87" s="128">
        <f ca="1" t="shared" si="10"/>
        <v>20</v>
      </c>
      <c r="D87" s="128">
        <f>SUM(LOOKUP(B87,'Gem types'!$B$3:$B$55,'Gem types'!$G$3:$G$55),PRODUCT(LOOKUP(B87,'Gem types'!$B$3:$B$55,'Gem types'!$G$3:$G$55),LOOKUP(C87,'Gem types'!$I$3:$I$29,'Gem types'!$J$3:$J$29)))</f>
        <v>90</v>
      </c>
      <c r="E87" s="98">
        <f t="shared" si="12"/>
      </c>
      <c r="F87" s="213">
        <f>IF(E87="","",LOOKUP(B87,'Gem types'!B3:C55,'Gem types'!C3:C55))</f>
      </c>
      <c r="G87" s="213"/>
      <c r="H87" s="213"/>
      <c r="I87" s="213"/>
      <c r="J87" s="213"/>
      <c r="K87" s="213"/>
      <c r="L87" s="213"/>
      <c r="M87" s="213"/>
      <c r="N87" s="213"/>
      <c r="O87" s="213">
        <f>IF(E87="","",LOOKUP(B87,'Gem types'!$B$3:$C$55,'Gem types'!$D$3:$D$55))</f>
      </c>
      <c r="P87" s="213"/>
      <c r="Q87" s="213"/>
      <c r="R87" s="213"/>
      <c r="S87" s="213"/>
      <c r="T87" s="213"/>
      <c r="U87" s="213"/>
      <c r="V87" s="213"/>
      <c r="W87" s="213"/>
      <c r="X87" s="213">
        <f>IF(E87="","",LOOKUP(B87,'Gem types'!$B$3:$C$55,'Gem types'!$F$3:$F$55))</f>
      </c>
      <c r="Y87" s="213"/>
      <c r="Z87" s="213"/>
      <c r="AA87" s="213"/>
      <c r="AB87" s="213"/>
      <c r="AC87" s="213"/>
      <c r="AD87" s="213"/>
      <c r="AE87" s="213"/>
      <c r="AF87" s="215">
        <f t="shared" si="13"/>
      </c>
      <c r="AG87" s="213"/>
      <c r="AH87" s="213"/>
      <c r="AI87" s="213"/>
      <c r="AJ87" s="215">
        <f>IF(F87="","",LOOKUP(C87,'Gem types'!$I$3:$I$29,'Gem types'!$K$3:$K$29))</f>
      </c>
      <c r="AK87" s="215"/>
      <c r="AL87" s="215"/>
      <c r="AM87" s="215"/>
      <c r="AN87" s="215">
        <f>IF(F87="","",LOOKUP(C87,'Gem types'!$I$3:$I$29,'Gem types'!$L$3:$L$29))</f>
      </c>
      <c r="AO87" s="215"/>
      <c r="AP87" s="215"/>
      <c r="AQ87" s="215"/>
      <c r="AS87" s="219">
        <f t="shared" si="11"/>
      </c>
      <c r="AT87" s="219"/>
    </row>
    <row r="88" spans="1:46" s="99" customFormat="1" ht="21" customHeight="1">
      <c r="A88" s="127">
        <f>'Treasurer Creator'!AC30</f>
        <v>0</v>
      </c>
      <c r="B88" s="127">
        <f ca="1" t="shared" si="9"/>
        <v>24</v>
      </c>
      <c r="C88" s="128">
        <f ca="1" t="shared" si="10"/>
        <v>2</v>
      </c>
      <c r="D88" s="128">
        <f>SUM(LOOKUP(B88,'Gem types'!$B$3:$B$55,'Gem types'!$G$3:$G$55),PRODUCT(LOOKUP(B88,'Gem types'!$B$3:$B$55,'Gem types'!$G$3:$G$55),LOOKUP(C88,'Gem types'!$I$3:$I$29,'Gem types'!$J$3:$J$29)))</f>
        <v>550</v>
      </c>
      <c r="E88" s="98">
        <f t="shared" si="12"/>
      </c>
      <c r="F88" s="213">
        <f>IF(E88="","",LOOKUP(B88,'Gem types'!B3:C55,'Gem types'!C3:C55))</f>
      </c>
      <c r="G88" s="213"/>
      <c r="H88" s="213"/>
      <c r="I88" s="213"/>
      <c r="J88" s="213"/>
      <c r="K88" s="213"/>
      <c r="L88" s="213"/>
      <c r="M88" s="213"/>
      <c r="N88" s="213"/>
      <c r="O88" s="213">
        <f>IF(E88="","",LOOKUP(B88,'Gem types'!$B$3:$C$55,'Gem types'!$D$3:$D$55))</f>
      </c>
      <c r="P88" s="213"/>
      <c r="Q88" s="213"/>
      <c r="R88" s="213"/>
      <c r="S88" s="213"/>
      <c r="T88" s="213"/>
      <c r="U88" s="213"/>
      <c r="V88" s="213"/>
      <c r="W88" s="213"/>
      <c r="X88" s="213">
        <f>IF(E88="","",LOOKUP(B88,'Gem types'!$B$3:$C$55,'Gem types'!$F$3:$F$55))</f>
      </c>
      <c r="Y88" s="213"/>
      <c r="Z88" s="213"/>
      <c r="AA88" s="213"/>
      <c r="AB88" s="213"/>
      <c r="AC88" s="213"/>
      <c r="AD88" s="213"/>
      <c r="AE88" s="213"/>
      <c r="AF88" s="215">
        <f t="shared" si="13"/>
      </c>
      <c r="AG88" s="213"/>
      <c r="AH88" s="213"/>
      <c r="AI88" s="213"/>
      <c r="AJ88" s="215">
        <f>IF(F88="","",LOOKUP(C88,'Gem types'!$I$3:$I$29,'Gem types'!$K$3:$K$29))</f>
      </c>
      <c r="AK88" s="215"/>
      <c r="AL88" s="215"/>
      <c r="AM88" s="215"/>
      <c r="AN88" s="215">
        <f>IF(F88="","",LOOKUP(C88,'Gem types'!$I$3:$I$29,'Gem types'!$L$3:$L$29))</f>
      </c>
      <c r="AO88" s="215"/>
      <c r="AP88" s="215"/>
      <c r="AQ88" s="215"/>
      <c r="AS88" s="219">
        <f t="shared" si="11"/>
      </c>
      <c r="AT88" s="219"/>
    </row>
    <row r="89" spans="1:46" s="99" customFormat="1" ht="21" customHeight="1">
      <c r="A89" s="127">
        <f>'Treasurer Creator'!AC30</f>
        <v>0</v>
      </c>
      <c r="B89" s="127">
        <f ca="1" t="shared" si="9"/>
        <v>16</v>
      </c>
      <c r="C89" s="128">
        <f ca="1" t="shared" si="10"/>
        <v>12</v>
      </c>
      <c r="D89" s="128">
        <f>SUM(LOOKUP(B89,'Gem types'!$B$3:$B$55,'Gem types'!$G$3:$G$55),PRODUCT(LOOKUP(B89,'Gem types'!$B$3:$B$55,'Gem types'!$G$3:$G$55),LOOKUP(C89,'Gem types'!$I$3:$I$29,'Gem types'!$J$3:$J$29)))</f>
        <v>70</v>
      </c>
      <c r="E89" s="98">
        <f t="shared" si="12"/>
      </c>
      <c r="F89" s="213">
        <f>IF(E89="","",LOOKUP(B89,'Gem types'!B3:C55,'Gem types'!C3:C55))</f>
      </c>
      <c r="G89" s="213"/>
      <c r="H89" s="213"/>
      <c r="I89" s="213"/>
      <c r="J89" s="213"/>
      <c r="K89" s="213"/>
      <c r="L89" s="213"/>
      <c r="M89" s="213"/>
      <c r="N89" s="213"/>
      <c r="O89" s="213">
        <f>IF(E89="","",LOOKUP(B89,'Gem types'!$B$3:$C$55,'Gem types'!$D$3:$D$55))</f>
      </c>
      <c r="P89" s="213"/>
      <c r="Q89" s="213"/>
      <c r="R89" s="213"/>
      <c r="S89" s="213"/>
      <c r="T89" s="213"/>
      <c r="U89" s="213"/>
      <c r="V89" s="213"/>
      <c r="W89" s="213"/>
      <c r="X89" s="213">
        <f>IF(E89="","",LOOKUP(B89,'Gem types'!$B$3:$C$55,'Gem types'!$F$3:$F$55))</f>
      </c>
      <c r="Y89" s="213"/>
      <c r="Z89" s="213"/>
      <c r="AA89" s="213"/>
      <c r="AB89" s="213"/>
      <c r="AC89" s="213"/>
      <c r="AD89" s="213"/>
      <c r="AE89" s="213"/>
      <c r="AF89" s="215">
        <f t="shared" si="13"/>
      </c>
      <c r="AG89" s="213"/>
      <c r="AH89" s="213"/>
      <c r="AI89" s="213"/>
      <c r="AJ89" s="215">
        <f>IF(F89="","",LOOKUP(C89,'Gem types'!$I$3:$I$29,'Gem types'!$K$3:$K$29))</f>
      </c>
      <c r="AK89" s="215"/>
      <c r="AL89" s="215"/>
      <c r="AM89" s="215"/>
      <c r="AN89" s="215">
        <f>IF(F89="","",LOOKUP(C89,'Gem types'!$I$3:$I$29,'Gem types'!$L$3:$L$29))</f>
      </c>
      <c r="AO89" s="215"/>
      <c r="AP89" s="215"/>
      <c r="AQ89" s="215"/>
      <c r="AS89" s="219">
        <f t="shared" si="11"/>
      </c>
      <c r="AT89" s="219"/>
    </row>
    <row r="90" spans="1:46" s="99" customFormat="1" ht="21" customHeight="1">
      <c r="A90" s="127">
        <f>'Treasurer Creator'!AC30</f>
        <v>0</v>
      </c>
      <c r="B90" s="127">
        <f ca="1" t="shared" si="9"/>
        <v>45</v>
      </c>
      <c r="C90" s="128">
        <f ca="1" t="shared" si="10"/>
        <v>26</v>
      </c>
      <c r="D90" s="128">
        <f>SUM(LOOKUP(B90,'Gem types'!$B$3:$B$55,'Gem types'!$G$3:$G$55),PRODUCT(LOOKUP(B90,'Gem types'!$B$3:$B$55,'Gem types'!$G$3:$G$55),LOOKUP(C90,'Gem types'!$I$3:$I$29,'Gem types'!$J$3:$J$29)))</f>
        <v>1500</v>
      </c>
      <c r="E90" s="98">
        <f t="shared" si="12"/>
      </c>
      <c r="F90" s="213">
        <f>IF(E90="","",LOOKUP(B90,'Gem types'!B3:C55,'Gem types'!C3:C55))</f>
      </c>
      <c r="G90" s="213"/>
      <c r="H90" s="213"/>
      <c r="I90" s="213"/>
      <c r="J90" s="213"/>
      <c r="K90" s="213"/>
      <c r="L90" s="213"/>
      <c r="M90" s="213"/>
      <c r="N90" s="213"/>
      <c r="O90" s="213">
        <f>IF(E90="","",LOOKUP(B90,'Gem types'!$B$3:$C$55,'Gem types'!$D$3:$D$55))</f>
      </c>
      <c r="P90" s="213"/>
      <c r="Q90" s="213"/>
      <c r="R90" s="213"/>
      <c r="S90" s="213"/>
      <c r="T90" s="213"/>
      <c r="U90" s="213"/>
      <c r="V90" s="213"/>
      <c r="W90" s="213"/>
      <c r="X90" s="213">
        <f>IF(E90="","",LOOKUP(B90,'Gem types'!$B$3:$C$55,'Gem types'!$F$3:$F$55))</f>
      </c>
      <c r="Y90" s="213"/>
      <c r="Z90" s="213"/>
      <c r="AA90" s="213"/>
      <c r="AB90" s="213"/>
      <c r="AC90" s="213"/>
      <c r="AD90" s="213"/>
      <c r="AE90" s="213"/>
      <c r="AF90" s="215">
        <f t="shared" si="13"/>
      </c>
      <c r="AG90" s="213"/>
      <c r="AH90" s="213"/>
      <c r="AI90" s="213"/>
      <c r="AJ90" s="215">
        <f>IF(F90="","",LOOKUP(C90,'Gem types'!$I$3:$I$29,'Gem types'!$K$3:$K$29))</f>
      </c>
      <c r="AK90" s="215"/>
      <c r="AL90" s="215"/>
      <c r="AM90" s="215"/>
      <c r="AN90" s="215">
        <f>IF(F90="","",LOOKUP(C90,'Gem types'!$I$3:$I$29,'Gem types'!$L$3:$L$29))</f>
      </c>
      <c r="AO90" s="215"/>
      <c r="AP90" s="215"/>
      <c r="AQ90" s="215"/>
      <c r="AS90" s="219">
        <f t="shared" si="11"/>
      </c>
      <c r="AT90" s="219"/>
    </row>
    <row r="91" spans="1:46" s="99" customFormat="1" ht="21" customHeight="1">
      <c r="A91" s="127">
        <f>'Treasurer Creator'!AC30</f>
        <v>0</v>
      </c>
      <c r="B91" s="127">
        <f ca="1" t="shared" si="9"/>
        <v>36</v>
      </c>
      <c r="C91" s="128">
        <f ca="1" t="shared" si="10"/>
        <v>24</v>
      </c>
      <c r="D91" s="128">
        <f>SUM(LOOKUP(B91,'Gem types'!$B$3:$B$55,'Gem types'!$G$3:$G$55),PRODUCT(LOOKUP(B91,'Gem types'!$B$3:$B$55,'Gem types'!$G$3:$G$55),LOOKUP(C91,'Gem types'!$I$3:$I$29,'Gem types'!$J$3:$J$29)))</f>
        <v>250</v>
      </c>
      <c r="E91" s="98">
        <f t="shared" si="12"/>
      </c>
      <c r="F91" s="213">
        <f>IF(E91="","",LOOKUP(B91,'Gem types'!B3:C55,'Gem types'!C3:C55))</f>
      </c>
      <c r="G91" s="213"/>
      <c r="H91" s="213"/>
      <c r="I91" s="213"/>
      <c r="J91" s="213"/>
      <c r="K91" s="213"/>
      <c r="L91" s="213"/>
      <c r="M91" s="213"/>
      <c r="N91" s="213"/>
      <c r="O91" s="213">
        <f>IF(E91="","",LOOKUP(B91,'Gem types'!$B$3:$C$55,'Gem types'!$D$3:$D$55))</f>
      </c>
      <c r="P91" s="213"/>
      <c r="Q91" s="213"/>
      <c r="R91" s="213"/>
      <c r="S91" s="213"/>
      <c r="T91" s="213"/>
      <c r="U91" s="213"/>
      <c r="V91" s="213"/>
      <c r="W91" s="213"/>
      <c r="X91" s="213">
        <f>IF(E91="","",LOOKUP(B91,'Gem types'!$B$3:$C$55,'Gem types'!$F$3:$F$55))</f>
      </c>
      <c r="Y91" s="213"/>
      <c r="Z91" s="213"/>
      <c r="AA91" s="213"/>
      <c r="AB91" s="213"/>
      <c r="AC91" s="213"/>
      <c r="AD91" s="213"/>
      <c r="AE91" s="213"/>
      <c r="AF91" s="215">
        <f t="shared" si="13"/>
      </c>
      <c r="AG91" s="213"/>
      <c r="AH91" s="213"/>
      <c r="AI91" s="213"/>
      <c r="AJ91" s="215">
        <f>IF(F91="","",LOOKUP(C91,'Gem types'!$I$3:$I$29,'Gem types'!$K$3:$K$29))</f>
      </c>
      <c r="AK91" s="215"/>
      <c r="AL91" s="215"/>
      <c r="AM91" s="215"/>
      <c r="AN91" s="215">
        <f>IF(F91="","",LOOKUP(C91,'Gem types'!$I$3:$I$29,'Gem types'!$L$3:$L$29))</f>
      </c>
      <c r="AO91" s="215"/>
      <c r="AP91" s="215"/>
      <c r="AQ91" s="215"/>
      <c r="AS91" s="219">
        <f t="shared" si="11"/>
      </c>
      <c r="AT91" s="219"/>
    </row>
    <row r="92" spans="1:46" s="99" customFormat="1" ht="21" customHeight="1">
      <c r="A92" s="127">
        <f>'Treasurer Creator'!AC30</f>
        <v>0</v>
      </c>
      <c r="B92" s="127">
        <f ca="1" t="shared" si="9"/>
        <v>48</v>
      </c>
      <c r="C92" s="128">
        <f ca="1" t="shared" si="10"/>
        <v>27</v>
      </c>
      <c r="D92" s="128">
        <f>SUM(LOOKUP(B92,'Gem types'!$B$3:$B$55,'Gem types'!$G$3:$G$55),PRODUCT(LOOKUP(B92,'Gem types'!$B$3:$B$55,'Gem types'!$G$3:$G$55),LOOKUP(C92,'Gem types'!$I$3:$I$29,'Gem types'!$J$3:$J$29)))</f>
        <v>1000</v>
      </c>
      <c r="E92" s="98">
        <f t="shared" si="12"/>
      </c>
      <c r="F92" s="213">
        <f>IF(E92="","",LOOKUP(B92,'Gem types'!B3:C55,'Gem types'!C3:C55))</f>
      </c>
      <c r="G92" s="213"/>
      <c r="H92" s="213"/>
      <c r="I92" s="213"/>
      <c r="J92" s="213"/>
      <c r="K92" s="213"/>
      <c r="L92" s="213"/>
      <c r="M92" s="213"/>
      <c r="N92" s="213"/>
      <c r="O92" s="213">
        <f>IF(E92="","",LOOKUP(B92,'Gem types'!$B$3:$C$55,'Gem types'!$D$3:$D$55))</f>
      </c>
      <c r="P92" s="213"/>
      <c r="Q92" s="213"/>
      <c r="R92" s="213"/>
      <c r="S92" s="213"/>
      <c r="T92" s="213"/>
      <c r="U92" s="213"/>
      <c r="V92" s="213"/>
      <c r="W92" s="213"/>
      <c r="X92" s="213">
        <f>IF(E92="","",LOOKUP(B92,'Gem types'!$B$3:$C$55,'Gem types'!$F$3:$F$55))</f>
      </c>
      <c r="Y92" s="213"/>
      <c r="Z92" s="213"/>
      <c r="AA92" s="213"/>
      <c r="AB92" s="213"/>
      <c r="AC92" s="213"/>
      <c r="AD92" s="213"/>
      <c r="AE92" s="213"/>
      <c r="AF92" s="215">
        <f t="shared" si="13"/>
      </c>
      <c r="AG92" s="213"/>
      <c r="AH92" s="213"/>
      <c r="AI92" s="213"/>
      <c r="AJ92" s="215">
        <f>IF(F92="","",LOOKUP(C92,'Gem types'!$I$3:$I$29,'Gem types'!$K$3:$K$29))</f>
      </c>
      <c r="AK92" s="215"/>
      <c r="AL92" s="215"/>
      <c r="AM92" s="215"/>
      <c r="AN92" s="215">
        <f>IF(F92="","",LOOKUP(C92,'Gem types'!$I$3:$I$29,'Gem types'!$L$3:$L$29))</f>
      </c>
      <c r="AO92" s="215"/>
      <c r="AP92" s="215"/>
      <c r="AQ92" s="215"/>
      <c r="AS92" s="219">
        <f t="shared" si="11"/>
      </c>
      <c r="AT92" s="219"/>
    </row>
    <row r="93" spans="1:46" s="99" customFormat="1" ht="21" customHeight="1">
      <c r="A93" s="127">
        <f>'Treasurer Creator'!AC30</f>
        <v>0</v>
      </c>
      <c r="B93" s="127">
        <f ca="1" t="shared" si="9"/>
        <v>39</v>
      </c>
      <c r="C93" s="128">
        <f ca="1" t="shared" si="10"/>
        <v>18</v>
      </c>
      <c r="D93" s="128">
        <f>SUM(LOOKUP(B93,'Gem types'!$B$3:$B$55,'Gem types'!$G$3:$G$55),PRODUCT(LOOKUP(B93,'Gem types'!$B$3:$B$55,'Gem types'!$G$3:$G$55),LOOKUP(C93,'Gem types'!$I$3:$I$29,'Gem types'!$J$3:$J$29)))</f>
        <v>500</v>
      </c>
      <c r="E93" s="98">
        <f t="shared" si="12"/>
      </c>
      <c r="F93" s="213">
        <f>IF(E93="","",LOOKUP(B93,'Gem types'!B3:C55,'Gem types'!C3:C55))</f>
      </c>
      <c r="G93" s="213"/>
      <c r="H93" s="213"/>
      <c r="I93" s="213"/>
      <c r="J93" s="213"/>
      <c r="K93" s="213"/>
      <c r="L93" s="213"/>
      <c r="M93" s="213"/>
      <c r="N93" s="213"/>
      <c r="O93" s="213">
        <f>IF(E93="","",LOOKUP(B93,'Gem types'!$B$3:$C$55,'Gem types'!$D$3:$D$55))</f>
      </c>
      <c r="P93" s="213"/>
      <c r="Q93" s="213"/>
      <c r="R93" s="213"/>
      <c r="S93" s="213"/>
      <c r="T93" s="213"/>
      <c r="U93" s="213"/>
      <c r="V93" s="213"/>
      <c r="W93" s="213"/>
      <c r="X93" s="213">
        <f>IF(E93="","",LOOKUP(B93,'Gem types'!$B$3:$C$55,'Gem types'!$F$3:$F$55))</f>
      </c>
      <c r="Y93" s="213"/>
      <c r="Z93" s="213"/>
      <c r="AA93" s="213"/>
      <c r="AB93" s="213"/>
      <c r="AC93" s="213"/>
      <c r="AD93" s="213"/>
      <c r="AE93" s="213"/>
      <c r="AF93" s="215">
        <f t="shared" si="13"/>
      </c>
      <c r="AG93" s="213"/>
      <c r="AH93" s="213"/>
      <c r="AI93" s="213"/>
      <c r="AJ93" s="215">
        <f>IF(F93="","",LOOKUP(C93,'Gem types'!$I$3:$I$29,'Gem types'!$K$3:$K$29))</f>
      </c>
      <c r="AK93" s="215"/>
      <c r="AL93" s="215"/>
      <c r="AM93" s="215"/>
      <c r="AN93" s="215">
        <f>IF(F93="","",LOOKUP(C93,'Gem types'!$I$3:$I$29,'Gem types'!$L$3:$L$29))</f>
      </c>
      <c r="AO93" s="215"/>
      <c r="AP93" s="215"/>
      <c r="AQ93" s="215"/>
      <c r="AS93" s="219">
        <f t="shared" si="11"/>
      </c>
      <c r="AT93" s="219"/>
    </row>
    <row r="94" spans="1:46" s="99" customFormat="1" ht="21" customHeight="1">
      <c r="A94" s="127">
        <f>'Treasurer Creator'!AC30</f>
        <v>0</v>
      </c>
      <c r="B94" s="127">
        <f ca="1" t="shared" si="9"/>
        <v>17</v>
      </c>
      <c r="C94" s="128">
        <f ca="1" t="shared" si="10"/>
        <v>10</v>
      </c>
      <c r="D94" s="128">
        <f>SUM(LOOKUP(B94,'Gem types'!$B$3:$B$55,'Gem types'!$G$3:$G$55),PRODUCT(LOOKUP(B94,'Gem types'!$B$3:$B$55,'Gem types'!$G$3:$G$55),LOOKUP(C94,'Gem types'!$I$3:$I$29,'Gem types'!$J$3:$J$29)))</f>
        <v>60</v>
      </c>
      <c r="E94" s="98">
        <f t="shared" si="12"/>
      </c>
      <c r="F94" s="213">
        <f>IF(E94="","",LOOKUP(B94,'Gem types'!B3:C55,'Gem types'!C3:C55))</f>
      </c>
      <c r="G94" s="213"/>
      <c r="H94" s="213"/>
      <c r="I94" s="213"/>
      <c r="J94" s="213"/>
      <c r="K94" s="213"/>
      <c r="L94" s="213"/>
      <c r="M94" s="213"/>
      <c r="N94" s="213"/>
      <c r="O94" s="213">
        <f>IF(E94="","",LOOKUP(B94,'Gem types'!$B$3:$C$55,'Gem types'!$D$3:$D$55))</f>
      </c>
      <c r="P94" s="213"/>
      <c r="Q94" s="213"/>
      <c r="R94" s="213"/>
      <c r="S94" s="213"/>
      <c r="T94" s="213"/>
      <c r="U94" s="213"/>
      <c r="V94" s="213"/>
      <c r="W94" s="213"/>
      <c r="X94" s="213">
        <f>IF(E94="","",LOOKUP(B94,'Gem types'!$B$3:$C$55,'Gem types'!$F$3:$F$55))</f>
      </c>
      <c r="Y94" s="213"/>
      <c r="Z94" s="213"/>
      <c r="AA94" s="213"/>
      <c r="AB94" s="213"/>
      <c r="AC94" s="213"/>
      <c r="AD94" s="213"/>
      <c r="AE94" s="213"/>
      <c r="AF94" s="215">
        <f t="shared" si="13"/>
      </c>
      <c r="AG94" s="213"/>
      <c r="AH94" s="213"/>
      <c r="AI94" s="213"/>
      <c r="AJ94" s="215">
        <f>IF(F94="","",LOOKUP(C94,'Gem types'!$I$3:$I$29,'Gem types'!$K$3:$K$29))</f>
      </c>
      <c r="AK94" s="215"/>
      <c r="AL94" s="215"/>
      <c r="AM94" s="215"/>
      <c r="AN94" s="215">
        <f>IF(F94="","",LOOKUP(C94,'Gem types'!$I$3:$I$29,'Gem types'!$L$3:$L$29))</f>
      </c>
      <c r="AO94" s="215"/>
      <c r="AP94" s="215"/>
      <c r="AQ94" s="215"/>
      <c r="AS94" s="219">
        <f t="shared" si="11"/>
      </c>
      <c r="AT94" s="219"/>
    </row>
    <row r="95" spans="1:46" s="99" customFormat="1" ht="21" customHeight="1">
      <c r="A95" s="127">
        <f>'Treasurer Creator'!AC30</f>
        <v>0</v>
      </c>
      <c r="B95" s="127">
        <f ca="1" t="shared" si="9"/>
        <v>51</v>
      </c>
      <c r="C95" s="128">
        <f ca="1" t="shared" si="10"/>
        <v>6</v>
      </c>
      <c r="D95" s="128">
        <f>SUM(LOOKUP(B95,'Gem types'!$B$3:$B$55,'Gem types'!$G$3:$G$55),PRODUCT(LOOKUP(B95,'Gem types'!$B$3:$B$55,'Gem types'!$G$3:$G$55),LOOKUP(C95,'Gem types'!$I$3:$I$29,'Gem types'!$J$3:$J$29)))</f>
        <v>6000</v>
      </c>
      <c r="E95" s="98">
        <f t="shared" si="12"/>
      </c>
      <c r="F95" s="213">
        <f>IF(E95="","",LOOKUP(B95,'Gem types'!B3:C55,'Gem types'!C3:C55))</f>
      </c>
      <c r="G95" s="213"/>
      <c r="H95" s="213"/>
      <c r="I95" s="213"/>
      <c r="J95" s="213"/>
      <c r="K95" s="213"/>
      <c r="L95" s="213"/>
      <c r="M95" s="213"/>
      <c r="N95" s="213"/>
      <c r="O95" s="213">
        <f>IF(E95="","",LOOKUP(B95,'Gem types'!$B$3:$C$55,'Gem types'!$D$3:$D$55))</f>
      </c>
      <c r="P95" s="213"/>
      <c r="Q95" s="213"/>
      <c r="R95" s="213"/>
      <c r="S95" s="213"/>
      <c r="T95" s="213"/>
      <c r="U95" s="213"/>
      <c r="V95" s="213"/>
      <c r="W95" s="213"/>
      <c r="X95" s="213">
        <f>IF(E95="","",LOOKUP(B95,'Gem types'!$B$3:$C$55,'Gem types'!$F$3:$F$55))</f>
      </c>
      <c r="Y95" s="213"/>
      <c r="Z95" s="213"/>
      <c r="AA95" s="213"/>
      <c r="AB95" s="213"/>
      <c r="AC95" s="213"/>
      <c r="AD95" s="213"/>
      <c r="AE95" s="213"/>
      <c r="AF95" s="215">
        <f t="shared" si="13"/>
      </c>
      <c r="AG95" s="213"/>
      <c r="AH95" s="213"/>
      <c r="AI95" s="213"/>
      <c r="AJ95" s="215">
        <f>IF(F95="","",LOOKUP(C95,'Gem types'!$I$3:$I$29,'Gem types'!$K$3:$K$29))</f>
      </c>
      <c r="AK95" s="215"/>
      <c r="AL95" s="215"/>
      <c r="AM95" s="215"/>
      <c r="AN95" s="215">
        <f>IF(F95="","",LOOKUP(C95,'Gem types'!$I$3:$I$29,'Gem types'!$L$3:$L$29))</f>
      </c>
      <c r="AO95" s="215"/>
      <c r="AP95" s="215"/>
      <c r="AQ95" s="215"/>
      <c r="AS95" s="219">
        <f t="shared" si="11"/>
      </c>
      <c r="AT95" s="219"/>
    </row>
    <row r="96" spans="1:46" s="99" customFormat="1" ht="21" customHeight="1">
      <c r="A96" s="127">
        <f>'Treasurer Creator'!AC30</f>
        <v>0</v>
      </c>
      <c r="B96" s="127">
        <f ca="1" t="shared" si="9"/>
        <v>50</v>
      </c>
      <c r="C96" s="128">
        <f ca="1" t="shared" si="10"/>
        <v>18</v>
      </c>
      <c r="D96" s="128">
        <f>SUM(LOOKUP(B96,'Gem types'!$B$3:$B$55,'Gem types'!$G$3:$G$55),PRODUCT(LOOKUP(B96,'Gem types'!$B$3:$B$55,'Gem types'!$G$3:$G$55),LOOKUP(C96,'Gem types'!$I$3:$I$29,'Gem types'!$J$3:$J$29)))</f>
        <v>25000</v>
      </c>
      <c r="E96" s="98">
        <f t="shared" si="12"/>
      </c>
      <c r="F96" s="213">
        <f>IF(E96="","",LOOKUP(B96,'Gem types'!B3:C55,'Gem types'!C3:C55))</f>
      </c>
      <c r="G96" s="213"/>
      <c r="H96" s="213"/>
      <c r="I96" s="213"/>
      <c r="J96" s="213"/>
      <c r="K96" s="213"/>
      <c r="L96" s="213"/>
      <c r="M96" s="213"/>
      <c r="N96" s="213"/>
      <c r="O96" s="213">
        <f>IF(E96="","",LOOKUP(B96,'Gem types'!$B$3:$C$55,'Gem types'!$D$3:$D$55))</f>
      </c>
      <c r="P96" s="213"/>
      <c r="Q96" s="213"/>
      <c r="R96" s="213"/>
      <c r="S96" s="213"/>
      <c r="T96" s="213"/>
      <c r="U96" s="213"/>
      <c r="V96" s="213"/>
      <c r="W96" s="213"/>
      <c r="X96" s="213">
        <f>IF(E96="","",LOOKUP(B96,'Gem types'!$B$3:$C$55,'Gem types'!$F$3:$F$55))</f>
      </c>
      <c r="Y96" s="213"/>
      <c r="Z96" s="213"/>
      <c r="AA96" s="213"/>
      <c r="AB96" s="213"/>
      <c r="AC96" s="213"/>
      <c r="AD96" s="213"/>
      <c r="AE96" s="213"/>
      <c r="AF96" s="215">
        <f t="shared" si="13"/>
      </c>
      <c r="AG96" s="213"/>
      <c r="AH96" s="213"/>
      <c r="AI96" s="213"/>
      <c r="AJ96" s="215">
        <f>IF(F96="","",LOOKUP(C96,'Gem types'!$I$3:$I$29,'Gem types'!$K$3:$K$29))</f>
      </c>
      <c r="AK96" s="215"/>
      <c r="AL96" s="215"/>
      <c r="AM96" s="215"/>
      <c r="AN96" s="215">
        <f>IF(F96="","",LOOKUP(C96,'Gem types'!$I$3:$I$29,'Gem types'!$L$3:$L$29))</f>
      </c>
      <c r="AO96" s="215"/>
      <c r="AP96" s="215"/>
      <c r="AQ96" s="215"/>
      <c r="AS96" s="219">
        <f t="shared" si="11"/>
      </c>
      <c r="AT96" s="219"/>
    </row>
    <row r="97" spans="1:46" s="99" customFormat="1" ht="21" customHeight="1">
      <c r="A97" s="127">
        <f>'Treasurer Creator'!AC30</f>
        <v>0</v>
      </c>
      <c r="B97" s="127">
        <f ca="1" t="shared" si="9"/>
        <v>33</v>
      </c>
      <c r="C97" s="128">
        <f ca="1" t="shared" si="10"/>
        <v>19</v>
      </c>
      <c r="D97" s="128">
        <f>SUM(LOOKUP(B97,'Gem types'!$B$3:$B$55,'Gem types'!$G$3:$G$55),PRODUCT(LOOKUP(B97,'Gem types'!$B$3:$B$55,'Gem types'!$G$3:$G$55),LOOKUP(C97,'Gem types'!$I$3:$I$29,'Gem types'!$J$3:$J$29)))</f>
        <v>600</v>
      </c>
      <c r="E97" s="98">
        <f t="shared" si="12"/>
      </c>
      <c r="F97" s="213">
        <f>IF(E97="","",LOOKUP(B97,'Gem types'!B3:C55,'Gem types'!C3:C55))</f>
      </c>
      <c r="G97" s="213"/>
      <c r="H97" s="213"/>
      <c r="I97" s="213"/>
      <c r="J97" s="213"/>
      <c r="K97" s="213"/>
      <c r="L97" s="213"/>
      <c r="M97" s="213"/>
      <c r="N97" s="213"/>
      <c r="O97" s="213">
        <f>IF(E97="","",LOOKUP(B97,'Gem types'!$B$3:$C$55,'Gem types'!$D$3:$D$55))</f>
      </c>
      <c r="P97" s="213"/>
      <c r="Q97" s="213"/>
      <c r="R97" s="213"/>
      <c r="S97" s="213"/>
      <c r="T97" s="213"/>
      <c r="U97" s="213"/>
      <c r="V97" s="213"/>
      <c r="W97" s="213"/>
      <c r="X97" s="213">
        <f>IF(E97="","",LOOKUP(B97,'Gem types'!$B$3:$C$55,'Gem types'!$F$3:$F$55))</f>
      </c>
      <c r="Y97" s="213"/>
      <c r="Z97" s="213"/>
      <c r="AA97" s="213"/>
      <c r="AB97" s="213"/>
      <c r="AC97" s="213"/>
      <c r="AD97" s="213"/>
      <c r="AE97" s="213"/>
      <c r="AF97" s="215">
        <f t="shared" si="13"/>
      </c>
      <c r="AG97" s="213"/>
      <c r="AH97" s="213"/>
      <c r="AI97" s="213"/>
      <c r="AJ97" s="215">
        <f>IF(F97="","",LOOKUP(C97,'Gem types'!$I$3:$I$29,'Gem types'!$K$3:$K$29))</f>
      </c>
      <c r="AK97" s="215"/>
      <c r="AL97" s="215"/>
      <c r="AM97" s="215"/>
      <c r="AN97" s="215">
        <f>IF(F97="","",LOOKUP(C97,'Gem types'!$I$3:$I$29,'Gem types'!$L$3:$L$29))</f>
      </c>
      <c r="AO97" s="215"/>
      <c r="AP97" s="215"/>
      <c r="AQ97" s="215"/>
      <c r="AS97" s="219">
        <f t="shared" si="11"/>
      </c>
      <c r="AT97" s="219"/>
    </row>
    <row r="98" spans="1:46" s="99" customFormat="1" ht="21" customHeight="1">
      <c r="A98" s="127">
        <f>'Treasurer Creator'!AC30</f>
        <v>0</v>
      </c>
      <c r="B98" s="127">
        <f ca="1" t="shared" si="9"/>
        <v>52</v>
      </c>
      <c r="C98" s="128">
        <f ca="1" t="shared" si="10"/>
        <v>13</v>
      </c>
      <c r="D98" s="128">
        <f>SUM(LOOKUP(B98,'Gem types'!$B$3:$B$55,'Gem types'!$G$3:$G$55),PRODUCT(LOOKUP(B98,'Gem types'!$B$3:$B$55,'Gem types'!$G$3:$G$55),LOOKUP(C98,'Gem types'!$I$3:$I$29,'Gem types'!$J$3:$J$29)))</f>
        <v>1500</v>
      </c>
      <c r="E98" s="98">
        <f t="shared" si="12"/>
      </c>
      <c r="F98" s="213">
        <f>IF(E98="","",LOOKUP(B98,'Gem types'!B3:C55,'Gem types'!C3:C55))</f>
      </c>
      <c r="G98" s="213"/>
      <c r="H98" s="213"/>
      <c r="I98" s="213"/>
      <c r="J98" s="213"/>
      <c r="K98" s="213"/>
      <c r="L98" s="213"/>
      <c r="M98" s="213"/>
      <c r="N98" s="213"/>
      <c r="O98" s="213">
        <f>IF(E98="","",LOOKUP(B98,'Gem types'!$B$3:$C$55,'Gem types'!$D$3:$D$55))</f>
      </c>
      <c r="P98" s="213"/>
      <c r="Q98" s="213"/>
      <c r="R98" s="213"/>
      <c r="S98" s="213"/>
      <c r="T98" s="213"/>
      <c r="U98" s="213"/>
      <c r="V98" s="213"/>
      <c r="W98" s="213"/>
      <c r="X98" s="213">
        <f>IF(E98="","",LOOKUP(B98,'Gem types'!$B$3:$C$55,'Gem types'!$F$3:$F$55))</f>
      </c>
      <c r="Y98" s="213"/>
      <c r="Z98" s="213"/>
      <c r="AA98" s="213"/>
      <c r="AB98" s="213"/>
      <c r="AC98" s="213"/>
      <c r="AD98" s="213"/>
      <c r="AE98" s="213"/>
      <c r="AF98" s="215">
        <f t="shared" si="13"/>
      </c>
      <c r="AG98" s="213"/>
      <c r="AH98" s="213"/>
      <c r="AI98" s="213"/>
      <c r="AJ98" s="215">
        <f>IF(F98="","",LOOKUP(C98,'Gem types'!$I$3:$I$29,'Gem types'!$K$3:$K$29))</f>
      </c>
      <c r="AK98" s="215"/>
      <c r="AL98" s="215"/>
      <c r="AM98" s="215"/>
      <c r="AN98" s="215">
        <f>IF(F98="","",LOOKUP(C98,'Gem types'!$I$3:$I$29,'Gem types'!$L$3:$L$29))</f>
      </c>
      <c r="AO98" s="215"/>
      <c r="AP98" s="215"/>
      <c r="AQ98" s="215"/>
      <c r="AS98" s="219">
        <f t="shared" si="11"/>
      </c>
      <c r="AT98" s="219"/>
    </row>
    <row r="99" spans="1:46" s="99" customFormat="1" ht="21" customHeight="1">
      <c r="A99" s="127">
        <f>'Treasurer Creator'!AC30</f>
        <v>0</v>
      </c>
      <c r="B99" s="127">
        <f ca="1" t="shared" si="9"/>
        <v>46</v>
      </c>
      <c r="C99" s="128">
        <f ca="1" t="shared" si="10"/>
        <v>27</v>
      </c>
      <c r="D99" s="128">
        <f>SUM(LOOKUP(B99,'Gem types'!$B$3:$B$55,'Gem types'!$G$3:$G$55),PRODUCT(LOOKUP(B99,'Gem types'!$B$3:$B$55,'Gem types'!$G$3:$G$55),LOOKUP(C99,'Gem types'!$I$3:$I$29,'Gem types'!$J$3:$J$29)))</f>
        <v>200</v>
      </c>
      <c r="E99" s="98">
        <f t="shared" si="12"/>
      </c>
      <c r="F99" s="213">
        <f>IF(E99="","",LOOKUP(B99,'Gem types'!B3:C55,'Gem types'!C3:C55))</f>
      </c>
      <c r="G99" s="213"/>
      <c r="H99" s="213"/>
      <c r="I99" s="213"/>
      <c r="J99" s="213"/>
      <c r="K99" s="213"/>
      <c r="L99" s="213"/>
      <c r="M99" s="213"/>
      <c r="N99" s="213"/>
      <c r="O99" s="213">
        <f>IF(E99="","",LOOKUP(B99,'Gem types'!$B$3:$C$55,'Gem types'!$D$3:$D$55))</f>
      </c>
      <c r="P99" s="213"/>
      <c r="Q99" s="213"/>
      <c r="R99" s="213"/>
      <c r="S99" s="213"/>
      <c r="T99" s="213"/>
      <c r="U99" s="213"/>
      <c r="V99" s="213"/>
      <c r="W99" s="213"/>
      <c r="X99" s="213">
        <f>IF(E99="","",LOOKUP(B99,'Gem types'!$B$3:$C$55,'Gem types'!$F$3:$F$55))</f>
      </c>
      <c r="Y99" s="213"/>
      <c r="Z99" s="213"/>
      <c r="AA99" s="213"/>
      <c r="AB99" s="213"/>
      <c r="AC99" s="213"/>
      <c r="AD99" s="213"/>
      <c r="AE99" s="213"/>
      <c r="AF99" s="215">
        <f t="shared" si="13"/>
      </c>
      <c r="AG99" s="213"/>
      <c r="AH99" s="213"/>
      <c r="AI99" s="213"/>
      <c r="AJ99" s="215">
        <f>IF(F99="","",LOOKUP(C99,'Gem types'!$I$3:$I$29,'Gem types'!$K$3:$K$29))</f>
      </c>
      <c r="AK99" s="215"/>
      <c r="AL99" s="215"/>
      <c r="AM99" s="215"/>
      <c r="AN99" s="215">
        <f>IF(F99="","",LOOKUP(C99,'Gem types'!$I$3:$I$29,'Gem types'!$L$3:$L$29))</f>
      </c>
      <c r="AO99" s="215"/>
      <c r="AP99" s="215"/>
      <c r="AQ99" s="215"/>
      <c r="AS99" s="219">
        <f t="shared" si="11"/>
      </c>
      <c r="AT99" s="219"/>
    </row>
    <row r="100" spans="1:46" s="99" customFormat="1" ht="21" customHeight="1">
      <c r="A100" s="127">
        <f>'Treasurer Creator'!AC30</f>
        <v>0</v>
      </c>
      <c r="B100" s="127">
        <f aca="true" ca="1" t="shared" si="14" ref="B100:B131">RANDBETWEEN(1,53)</f>
        <v>21</v>
      </c>
      <c r="C100" s="128">
        <f aca="true" ca="1" t="shared" si="15" ref="C100:C131">RANDBETWEEN(1,27)</f>
        <v>22</v>
      </c>
      <c r="D100" s="128">
        <f>SUM(LOOKUP(B100,'Gem types'!$B$3:$B$55,'Gem types'!$G$3:$G$55),PRODUCT(LOOKUP(B100,'Gem types'!$B$3:$B$55,'Gem types'!$G$3:$G$55),LOOKUP(C100,'Gem types'!$I$3:$I$29,'Gem types'!$J$3:$J$29)))</f>
        <v>35</v>
      </c>
      <c r="E100" s="98">
        <f t="shared" si="12"/>
      </c>
      <c r="F100" s="213">
        <f>IF(E100="","",LOOKUP(B100,'Gem types'!B3:C55,'Gem types'!C3:C55))</f>
      </c>
      <c r="G100" s="213"/>
      <c r="H100" s="213"/>
      <c r="I100" s="213"/>
      <c r="J100" s="213"/>
      <c r="K100" s="213"/>
      <c r="L100" s="213"/>
      <c r="M100" s="213"/>
      <c r="N100" s="213"/>
      <c r="O100" s="213">
        <f>IF(E100="","",LOOKUP(B100,'Gem types'!$B$3:$C$55,'Gem types'!$D$3:$D$55))</f>
      </c>
      <c r="P100" s="213"/>
      <c r="Q100" s="213"/>
      <c r="R100" s="213"/>
      <c r="S100" s="213"/>
      <c r="T100" s="213"/>
      <c r="U100" s="213"/>
      <c r="V100" s="213"/>
      <c r="W100" s="213"/>
      <c r="X100" s="213">
        <f>IF(E100="","",LOOKUP(B100,'Gem types'!$B$3:$C$55,'Gem types'!$F$3:$F$55))</f>
      </c>
      <c r="Y100" s="213"/>
      <c r="Z100" s="213"/>
      <c r="AA100" s="213"/>
      <c r="AB100" s="213"/>
      <c r="AC100" s="213"/>
      <c r="AD100" s="213"/>
      <c r="AE100" s="213"/>
      <c r="AF100" s="215">
        <f t="shared" si="13"/>
      </c>
      <c r="AG100" s="213"/>
      <c r="AH100" s="213"/>
      <c r="AI100" s="213"/>
      <c r="AJ100" s="215">
        <f>IF(F100="","",LOOKUP(C100,'Gem types'!$I$3:$I$29,'Gem types'!$K$3:$K$29))</f>
      </c>
      <c r="AK100" s="215"/>
      <c r="AL100" s="215"/>
      <c r="AM100" s="215"/>
      <c r="AN100" s="215">
        <f>IF(F100="","",LOOKUP(C100,'Gem types'!$I$3:$I$29,'Gem types'!$L$3:$L$29))</f>
      </c>
      <c r="AO100" s="215"/>
      <c r="AP100" s="215"/>
      <c r="AQ100" s="215"/>
      <c r="AS100" s="219">
        <f aca="true" t="shared" si="16" ref="AS100:AS131">IF(E100="","",ROUNDUP(D100,0))</f>
      </c>
      <c r="AT100" s="219"/>
    </row>
    <row r="101" spans="1:46" s="99" customFormat="1" ht="21" customHeight="1">
      <c r="A101" s="127">
        <f>'Treasurer Creator'!AC30</f>
        <v>0</v>
      </c>
      <c r="B101" s="127">
        <f ca="1" t="shared" si="14"/>
        <v>27</v>
      </c>
      <c r="C101" s="128">
        <f ca="1" t="shared" si="15"/>
        <v>6</v>
      </c>
      <c r="D101" s="128">
        <f>SUM(LOOKUP(B101,'Gem types'!$B$3:$B$55,'Gem types'!$G$3:$G$55),PRODUCT(LOOKUP(B101,'Gem types'!$B$3:$B$55,'Gem types'!$G$3:$G$55),LOOKUP(C101,'Gem types'!$I$3:$I$29,'Gem types'!$J$3:$J$29)))</f>
        <v>600</v>
      </c>
      <c r="E101" s="98">
        <f aca="true" t="shared" si="17" ref="E101:E132">IF(A101&gt;E100,SUM(E100+1),"")</f>
      </c>
      <c r="F101" s="213">
        <f>IF(E101="","",LOOKUP(B101,'Gem types'!B3:C55,'Gem types'!C3:C55))</f>
      </c>
      <c r="G101" s="213"/>
      <c r="H101" s="213"/>
      <c r="I101" s="213"/>
      <c r="J101" s="213"/>
      <c r="K101" s="213"/>
      <c r="L101" s="213"/>
      <c r="M101" s="213"/>
      <c r="N101" s="213"/>
      <c r="O101" s="213">
        <f>IF(E101="","",LOOKUP(B101,'Gem types'!$B$3:$C$55,'Gem types'!$D$3:$D$55))</f>
      </c>
      <c r="P101" s="213"/>
      <c r="Q101" s="213"/>
      <c r="R101" s="213"/>
      <c r="S101" s="213"/>
      <c r="T101" s="213"/>
      <c r="U101" s="213"/>
      <c r="V101" s="213"/>
      <c r="W101" s="213"/>
      <c r="X101" s="213">
        <f>IF(E101="","",LOOKUP(B101,'Gem types'!$B$3:$C$55,'Gem types'!$F$3:$F$55))</f>
      </c>
      <c r="Y101" s="213"/>
      <c r="Z101" s="213"/>
      <c r="AA101" s="213"/>
      <c r="AB101" s="213"/>
      <c r="AC101" s="213"/>
      <c r="AD101" s="213"/>
      <c r="AE101" s="213"/>
      <c r="AF101" s="215">
        <f t="shared" si="13"/>
      </c>
      <c r="AG101" s="213"/>
      <c r="AH101" s="213"/>
      <c r="AI101" s="213"/>
      <c r="AJ101" s="215">
        <f>IF(F101="","",LOOKUP(C101,'Gem types'!$I$3:$I$29,'Gem types'!$K$3:$K$29))</f>
      </c>
      <c r="AK101" s="215"/>
      <c r="AL101" s="215"/>
      <c r="AM101" s="215"/>
      <c r="AN101" s="215">
        <f>IF(F101="","",LOOKUP(C101,'Gem types'!$I$3:$I$29,'Gem types'!$L$3:$L$29))</f>
      </c>
      <c r="AO101" s="215"/>
      <c r="AP101" s="215"/>
      <c r="AQ101" s="215"/>
      <c r="AS101" s="219">
        <f t="shared" si="16"/>
      </c>
      <c r="AT101" s="219"/>
    </row>
    <row r="102" spans="1:46" s="99" customFormat="1" ht="21" customHeight="1">
      <c r="A102" s="127">
        <f>'Treasurer Creator'!AC30</f>
        <v>0</v>
      </c>
      <c r="B102" s="127">
        <f ca="1" t="shared" si="14"/>
        <v>45</v>
      </c>
      <c r="C102" s="128">
        <f ca="1" t="shared" si="15"/>
        <v>19</v>
      </c>
      <c r="D102" s="128">
        <f>SUM(LOOKUP(B102,'Gem types'!$B$3:$B$55,'Gem types'!$G$3:$G$55),PRODUCT(LOOKUP(B102,'Gem types'!$B$3:$B$55,'Gem types'!$G$3:$G$55),LOOKUP(C102,'Gem types'!$I$3:$I$29,'Gem types'!$J$3:$J$29)))</f>
        <v>30000</v>
      </c>
      <c r="E102" s="98">
        <f t="shared" si="17"/>
      </c>
      <c r="F102" s="213">
        <f>IF(E102="","",LOOKUP(B102,'Gem types'!B3:C55,'Gem types'!C3:C55))</f>
      </c>
      <c r="G102" s="213"/>
      <c r="H102" s="213"/>
      <c r="I102" s="213"/>
      <c r="J102" s="213"/>
      <c r="K102" s="213"/>
      <c r="L102" s="213"/>
      <c r="M102" s="213"/>
      <c r="N102" s="213"/>
      <c r="O102" s="213">
        <f>IF(E102="","",LOOKUP(B102,'Gem types'!$B$3:$C$55,'Gem types'!$D$3:$D$55))</f>
      </c>
      <c r="P102" s="213"/>
      <c r="Q102" s="213"/>
      <c r="R102" s="213"/>
      <c r="S102" s="213"/>
      <c r="T102" s="213"/>
      <c r="U102" s="213"/>
      <c r="V102" s="213"/>
      <c r="W102" s="213"/>
      <c r="X102" s="213">
        <f>IF(E102="","",LOOKUP(B102,'Gem types'!$B$3:$C$55,'Gem types'!$F$3:$F$55))</f>
      </c>
      <c r="Y102" s="213"/>
      <c r="Z102" s="213"/>
      <c r="AA102" s="213"/>
      <c r="AB102" s="213"/>
      <c r="AC102" s="213"/>
      <c r="AD102" s="213"/>
      <c r="AE102" s="213"/>
      <c r="AF102" s="215">
        <f t="shared" si="13"/>
      </c>
      <c r="AG102" s="213"/>
      <c r="AH102" s="213"/>
      <c r="AI102" s="213"/>
      <c r="AJ102" s="215">
        <f>IF(F102="","",LOOKUP(C102,'Gem types'!$I$3:$I$29,'Gem types'!$K$3:$K$29))</f>
      </c>
      <c r="AK102" s="215"/>
      <c r="AL102" s="215"/>
      <c r="AM102" s="215"/>
      <c r="AN102" s="215">
        <f>IF(F102="","",LOOKUP(C102,'Gem types'!$I$3:$I$29,'Gem types'!$L$3:$L$29))</f>
      </c>
      <c r="AO102" s="215"/>
      <c r="AP102" s="215"/>
      <c r="AQ102" s="215"/>
      <c r="AS102" s="219">
        <f t="shared" si="16"/>
      </c>
      <c r="AT102" s="219"/>
    </row>
    <row r="103" spans="1:46" s="99" customFormat="1" ht="21" customHeight="1">
      <c r="A103" s="127">
        <f>'Treasurer Creator'!AC30</f>
        <v>0</v>
      </c>
      <c r="B103" s="127">
        <f ca="1" t="shared" si="14"/>
        <v>32</v>
      </c>
      <c r="C103" s="128">
        <f ca="1" t="shared" si="15"/>
        <v>25</v>
      </c>
      <c r="D103" s="128">
        <f>SUM(LOOKUP(B103,'Gem types'!$B$3:$B$55,'Gem types'!$G$3:$G$55),PRODUCT(LOOKUP(B103,'Gem types'!$B$3:$B$55,'Gem types'!$G$3:$G$55),LOOKUP(C103,'Gem types'!$I$3:$I$29,'Gem types'!$J$3:$J$29)))</f>
        <v>100</v>
      </c>
      <c r="E103" s="98">
        <f t="shared" si="17"/>
      </c>
      <c r="F103" s="213">
        <f>IF(E103="","",LOOKUP(B103,'Gem types'!B3:C55,'Gem types'!C3:C55))</f>
      </c>
      <c r="G103" s="213"/>
      <c r="H103" s="213"/>
      <c r="I103" s="213"/>
      <c r="J103" s="213"/>
      <c r="K103" s="213"/>
      <c r="L103" s="213"/>
      <c r="M103" s="213"/>
      <c r="N103" s="213"/>
      <c r="O103" s="213">
        <f>IF(E103="","",LOOKUP(B103,'Gem types'!$B$3:$C$55,'Gem types'!$D$3:$D$55))</f>
      </c>
      <c r="P103" s="213"/>
      <c r="Q103" s="213"/>
      <c r="R103" s="213"/>
      <c r="S103" s="213"/>
      <c r="T103" s="213"/>
      <c r="U103" s="213"/>
      <c r="V103" s="213"/>
      <c r="W103" s="213"/>
      <c r="X103" s="213">
        <f>IF(E103="","",LOOKUP(B103,'Gem types'!$B$3:$C$55,'Gem types'!$F$3:$F$55))</f>
      </c>
      <c r="Y103" s="213"/>
      <c r="Z103" s="213"/>
      <c r="AA103" s="213"/>
      <c r="AB103" s="213"/>
      <c r="AC103" s="213"/>
      <c r="AD103" s="213"/>
      <c r="AE103" s="213"/>
      <c r="AF103" s="215">
        <f t="shared" si="13"/>
      </c>
      <c r="AG103" s="213"/>
      <c r="AH103" s="213"/>
      <c r="AI103" s="213"/>
      <c r="AJ103" s="215">
        <f>IF(F103="","",LOOKUP(C103,'Gem types'!$I$3:$I$29,'Gem types'!$K$3:$K$29))</f>
      </c>
      <c r="AK103" s="215"/>
      <c r="AL103" s="215"/>
      <c r="AM103" s="215"/>
      <c r="AN103" s="215">
        <f>IF(F103="","",LOOKUP(C103,'Gem types'!$I$3:$I$29,'Gem types'!$L$3:$L$29))</f>
      </c>
      <c r="AO103" s="215"/>
      <c r="AP103" s="215"/>
      <c r="AQ103" s="215"/>
      <c r="AS103" s="219">
        <f t="shared" si="16"/>
      </c>
      <c r="AT103" s="219"/>
    </row>
    <row r="104" spans="1:46" s="99" customFormat="1" ht="21" customHeight="1">
      <c r="A104" s="127">
        <f>'Treasurer Creator'!AC30</f>
        <v>0</v>
      </c>
      <c r="B104" s="127">
        <f ca="1" t="shared" si="14"/>
        <v>26</v>
      </c>
      <c r="C104" s="128">
        <f ca="1" t="shared" si="15"/>
        <v>9</v>
      </c>
      <c r="D104" s="128">
        <f>SUM(LOOKUP(B104,'Gem types'!$B$3:$B$55,'Gem types'!$G$3:$G$55),PRODUCT(LOOKUP(B104,'Gem types'!$B$3:$B$55,'Gem types'!$G$3:$G$55),LOOKUP(C104,'Gem types'!$I$3:$I$29,'Gem types'!$J$3:$J$29)))</f>
        <v>110</v>
      </c>
      <c r="E104" s="98">
        <f t="shared" si="17"/>
      </c>
      <c r="F104" s="213">
        <f>IF(E104="","",LOOKUP(B104,'Gem types'!B3:C55,'Gem types'!C3:C55))</f>
      </c>
      <c r="G104" s="213"/>
      <c r="H104" s="213"/>
      <c r="I104" s="213"/>
      <c r="J104" s="213"/>
      <c r="K104" s="213"/>
      <c r="L104" s="213"/>
      <c r="M104" s="213"/>
      <c r="N104" s="213"/>
      <c r="O104" s="213">
        <f>IF(E104="","",LOOKUP(B104,'Gem types'!$B$3:$C$55,'Gem types'!$D$3:$D$55))</f>
      </c>
      <c r="P104" s="213"/>
      <c r="Q104" s="213"/>
      <c r="R104" s="213"/>
      <c r="S104" s="213"/>
      <c r="T104" s="213"/>
      <c r="U104" s="213"/>
      <c r="V104" s="213"/>
      <c r="W104" s="213"/>
      <c r="X104" s="213">
        <f>IF(E104="","",LOOKUP(B104,'Gem types'!$B$3:$C$55,'Gem types'!$F$3:$F$55))</f>
      </c>
      <c r="Y104" s="213"/>
      <c r="Z104" s="213"/>
      <c r="AA104" s="213"/>
      <c r="AB104" s="213"/>
      <c r="AC104" s="213"/>
      <c r="AD104" s="213"/>
      <c r="AE104" s="213"/>
      <c r="AF104" s="215">
        <f t="shared" si="13"/>
      </c>
      <c r="AG104" s="213"/>
      <c r="AH104" s="213"/>
      <c r="AI104" s="213"/>
      <c r="AJ104" s="215">
        <f>IF(F104="","",LOOKUP(C104,'Gem types'!$I$3:$I$29,'Gem types'!$K$3:$K$29))</f>
      </c>
      <c r="AK104" s="215"/>
      <c r="AL104" s="215"/>
      <c r="AM104" s="215"/>
      <c r="AN104" s="215">
        <f>IF(F104="","",LOOKUP(C104,'Gem types'!$I$3:$I$29,'Gem types'!$L$3:$L$29))</f>
      </c>
      <c r="AO104" s="215"/>
      <c r="AP104" s="215"/>
      <c r="AQ104" s="215"/>
      <c r="AS104" s="219">
        <f t="shared" si="16"/>
      </c>
      <c r="AT104" s="219"/>
    </row>
    <row r="105" spans="1:46" s="99" customFormat="1" ht="21" customHeight="1">
      <c r="A105" s="127">
        <f>'Treasurer Creator'!AC30</f>
        <v>0</v>
      </c>
      <c r="B105" s="127">
        <f ca="1" t="shared" si="14"/>
        <v>52</v>
      </c>
      <c r="C105" s="128">
        <f ca="1" t="shared" si="15"/>
        <v>26</v>
      </c>
      <c r="D105" s="128">
        <f>SUM(LOOKUP(B105,'Gem types'!$B$3:$B$55,'Gem types'!$G$3:$G$55),PRODUCT(LOOKUP(B105,'Gem types'!$B$3:$B$55,'Gem types'!$G$3:$G$55),LOOKUP(C105,'Gem types'!$I$3:$I$29,'Gem types'!$J$3:$J$29)))</f>
        <v>300</v>
      </c>
      <c r="E105" s="98">
        <f t="shared" si="17"/>
      </c>
      <c r="F105" s="213">
        <f>IF(E105="","",LOOKUP(B105,'Gem types'!B3:C55,'Gem types'!C3:C55))</f>
      </c>
      <c r="G105" s="213"/>
      <c r="H105" s="213"/>
      <c r="I105" s="213"/>
      <c r="J105" s="213"/>
      <c r="K105" s="213"/>
      <c r="L105" s="213"/>
      <c r="M105" s="213"/>
      <c r="N105" s="213"/>
      <c r="O105" s="213">
        <f>IF(E105="","",LOOKUP(B105,'Gem types'!$B$3:$C$55,'Gem types'!$D$3:$D$55))</f>
      </c>
      <c r="P105" s="213"/>
      <c r="Q105" s="213"/>
      <c r="R105" s="213"/>
      <c r="S105" s="213"/>
      <c r="T105" s="213"/>
      <c r="U105" s="213"/>
      <c r="V105" s="213"/>
      <c r="W105" s="213"/>
      <c r="X105" s="213">
        <f>IF(E105="","",LOOKUP(B105,'Gem types'!$B$3:$C$55,'Gem types'!$F$3:$F$55))</f>
      </c>
      <c r="Y105" s="213"/>
      <c r="Z105" s="213"/>
      <c r="AA105" s="213"/>
      <c r="AB105" s="213"/>
      <c r="AC105" s="213"/>
      <c r="AD105" s="213"/>
      <c r="AE105" s="213"/>
      <c r="AF105" s="215">
        <f t="shared" si="13"/>
      </c>
      <c r="AG105" s="213"/>
      <c r="AH105" s="213"/>
      <c r="AI105" s="213"/>
      <c r="AJ105" s="215">
        <f>IF(F105="","",LOOKUP(C105,'Gem types'!$I$3:$I$29,'Gem types'!$K$3:$K$29))</f>
      </c>
      <c r="AK105" s="215"/>
      <c r="AL105" s="215"/>
      <c r="AM105" s="215"/>
      <c r="AN105" s="215">
        <f>IF(F105="","",LOOKUP(C105,'Gem types'!$I$3:$I$29,'Gem types'!$L$3:$L$29))</f>
      </c>
      <c r="AO105" s="215"/>
      <c r="AP105" s="215"/>
      <c r="AQ105" s="215"/>
      <c r="AS105" s="219">
        <f t="shared" si="16"/>
      </c>
      <c r="AT105" s="219"/>
    </row>
    <row r="106" spans="1:46" s="99" customFormat="1" ht="21" customHeight="1">
      <c r="A106" s="127">
        <f>'Treasurer Creator'!AC30</f>
        <v>0</v>
      </c>
      <c r="B106" s="127">
        <f ca="1" t="shared" si="14"/>
        <v>20</v>
      </c>
      <c r="C106" s="128">
        <f ca="1" t="shared" si="15"/>
        <v>5</v>
      </c>
      <c r="D106" s="128">
        <f>SUM(LOOKUP(B106,'Gem types'!$B$3:$B$55,'Gem types'!$G$3:$G$55),PRODUCT(LOOKUP(B106,'Gem types'!$B$3:$B$55,'Gem types'!$G$3:$G$55),LOOKUP(C106,'Gem types'!$I$3:$I$29,'Gem types'!$J$3:$J$29)))</f>
        <v>100</v>
      </c>
      <c r="E106" s="98">
        <f t="shared" si="17"/>
      </c>
      <c r="F106" s="213">
        <f>IF(E106="","",LOOKUP(B106,'Gem types'!B3:C55,'Gem types'!C3:C55))</f>
      </c>
      <c r="G106" s="213"/>
      <c r="H106" s="213"/>
      <c r="I106" s="213"/>
      <c r="J106" s="213"/>
      <c r="K106" s="213"/>
      <c r="L106" s="213"/>
      <c r="M106" s="213"/>
      <c r="N106" s="213"/>
      <c r="O106" s="213">
        <f>IF(E106="","",LOOKUP(B106,'Gem types'!$B$3:$C$55,'Gem types'!$D$3:$D$55))</f>
      </c>
      <c r="P106" s="213"/>
      <c r="Q106" s="213"/>
      <c r="R106" s="213"/>
      <c r="S106" s="213"/>
      <c r="T106" s="213"/>
      <c r="U106" s="213"/>
      <c r="V106" s="213"/>
      <c r="W106" s="213"/>
      <c r="X106" s="213">
        <f>IF(E106="","",LOOKUP(B106,'Gem types'!$B$3:$C$55,'Gem types'!$F$3:$F$55))</f>
      </c>
      <c r="Y106" s="213"/>
      <c r="Z106" s="213"/>
      <c r="AA106" s="213"/>
      <c r="AB106" s="213"/>
      <c r="AC106" s="213"/>
      <c r="AD106" s="213"/>
      <c r="AE106" s="213"/>
      <c r="AF106" s="215">
        <f t="shared" si="13"/>
      </c>
      <c r="AG106" s="213"/>
      <c r="AH106" s="213"/>
      <c r="AI106" s="213"/>
      <c r="AJ106" s="215">
        <f>IF(F106="","",LOOKUP(C106,'Gem types'!$I$3:$I$29,'Gem types'!$K$3:$K$29))</f>
      </c>
      <c r="AK106" s="215"/>
      <c r="AL106" s="215"/>
      <c r="AM106" s="215"/>
      <c r="AN106" s="215">
        <f>IF(F106="","",LOOKUP(C106,'Gem types'!$I$3:$I$29,'Gem types'!$L$3:$L$29))</f>
      </c>
      <c r="AO106" s="215"/>
      <c r="AP106" s="215"/>
      <c r="AQ106" s="215"/>
      <c r="AS106" s="219">
        <f t="shared" si="16"/>
      </c>
      <c r="AT106" s="219"/>
    </row>
    <row r="107" spans="1:46" s="99" customFormat="1" ht="21" customHeight="1">
      <c r="A107" s="127">
        <f>'Treasurer Creator'!AC30</f>
        <v>0</v>
      </c>
      <c r="B107" s="127">
        <f ca="1" t="shared" si="14"/>
        <v>33</v>
      </c>
      <c r="C107" s="128">
        <f ca="1" t="shared" si="15"/>
        <v>10</v>
      </c>
      <c r="D107" s="128">
        <f>SUM(LOOKUP(B107,'Gem types'!$B$3:$B$55,'Gem types'!$G$3:$G$55),PRODUCT(LOOKUP(B107,'Gem types'!$B$3:$B$55,'Gem types'!$G$3:$G$55),LOOKUP(C107,'Gem types'!$I$3:$I$29,'Gem types'!$J$3:$J$29)))</f>
        <v>120</v>
      </c>
      <c r="E107" s="98">
        <f t="shared" si="17"/>
      </c>
      <c r="F107" s="213">
        <f>IF(E107="","",LOOKUP(B107,'Gem types'!B3:C55,'Gem types'!C3:C55))</f>
      </c>
      <c r="G107" s="213"/>
      <c r="H107" s="213"/>
      <c r="I107" s="213"/>
      <c r="J107" s="213"/>
      <c r="K107" s="213"/>
      <c r="L107" s="213"/>
      <c r="M107" s="213"/>
      <c r="N107" s="213"/>
      <c r="O107" s="213">
        <f>IF(E107="","",LOOKUP(B107,'Gem types'!$B$3:$C$55,'Gem types'!$D$3:$D$55))</f>
      </c>
      <c r="P107" s="213"/>
      <c r="Q107" s="213"/>
      <c r="R107" s="213"/>
      <c r="S107" s="213"/>
      <c r="T107" s="213"/>
      <c r="U107" s="213"/>
      <c r="V107" s="213"/>
      <c r="W107" s="213"/>
      <c r="X107" s="213">
        <f>IF(E107="","",LOOKUP(B107,'Gem types'!$B$3:$C$55,'Gem types'!$F$3:$F$55))</f>
      </c>
      <c r="Y107" s="213"/>
      <c r="Z107" s="213"/>
      <c r="AA107" s="213"/>
      <c r="AB107" s="213"/>
      <c r="AC107" s="213"/>
      <c r="AD107" s="213"/>
      <c r="AE107" s="213"/>
      <c r="AF107" s="215">
        <f t="shared" si="13"/>
      </c>
      <c r="AG107" s="213"/>
      <c r="AH107" s="213"/>
      <c r="AI107" s="213"/>
      <c r="AJ107" s="215">
        <f>IF(F107="","",LOOKUP(C107,'Gem types'!$I$3:$I$29,'Gem types'!$K$3:$K$29))</f>
      </c>
      <c r="AK107" s="215"/>
      <c r="AL107" s="215"/>
      <c r="AM107" s="215"/>
      <c r="AN107" s="215">
        <f>IF(F107="","",LOOKUP(C107,'Gem types'!$I$3:$I$29,'Gem types'!$L$3:$L$29))</f>
      </c>
      <c r="AO107" s="215"/>
      <c r="AP107" s="215"/>
      <c r="AQ107" s="215"/>
      <c r="AS107" s="219">
        <f t="shared" si="16"/>
      </c>
      <c r="AT107" s="219"/>
    </row>
    <row r="108" spans="1:46" s="99" customFormat="1" ht="21" customHeight="1">
      <c r="A108" s="127">
        <f>'Treasurer Creator'!AC30</f>
        <v>0</v>
      </c>
      <c r="B108" s="127">
        <f ca="1" t="shared" si="14"/>
        <v>31</v>
      </c>
      <c r="C108" s="128">
        <f ca="1" t="shared" si="15"/>
        <v>19</v>
      </c>
      <c r="D108" s="128">
        <f>SUM(LOOKUP(B108,'Gem types'!$B$3:$B$55,'Gem types'!$G$3:$G$55),PRODUCT(LOOKUP(B108,'Gem types'!$B$3:$B$55,'Gem types'!$G$3:$G$55),LOOKUP(C108,'Gem types'!$I$3:$I$29,'Gem types'!$J$3:$J$29)))</f>
        <v>600</v>
      </c>
      <c r="E108" s="98">
        <f t="shared" si="17"/>
      </c>
      <c r="F108" s="213">
        <f>IF(E108="","",LOOKUP(B108,'Gem types'!B3:C55,'Gem types'!C3:C55))</f>
      </c>
      <c r="G108" s="213"/>
      <c r="H108" s="213"/>
      <c r="I108" s="213"/>
      <c r="J108" s="213"/>
      <c r="K108" s="213"/>
      <c r="L108" s="213"/>
      <c r="M108" s="213"/>
      <c r="N108" s="213"/>
      <c r="O108" s="213">
        <f>IF(E108="","",LOOKUP(B108,'Gem types'!$B$3:$C$55,'Gem types'!$D$3:$D$55))</f>
      </c>
      <c r="P108" s="213"/>
      <c r="Q108" s="213"/>
      <c r="R108" s="213"/>
      <c r="S108" s="213"/>
      <c r="T108" s="213"/>
      <c r="U108" s="213"/>
      <c r="V108" s="213"/>
      <c r="W108" s="213"/>
      <c r="X108" s="213">
        <f>IF(E108="","",LOOKUP(B108,'Gem types'!$B$3:$C$55,'Gem types'!$F$3:$F$55))</f>
      </c>
      <c r="Y108" s="213"/>
      <c r="Z108" s="213"/>
      <c r="AA108" s="213"/>
      <c r="AB108" s="213"/>
      <c r="AC108" s="213"/>
      <c r="AD108" s="213"/>
      <c r="AE108" s="213"/>
      <c r="AF108" s="215">
        <f t="shared" si="13"/>
      </c>
      <c r="AG108" s="213"/>
      <c r="AH108" s="213"/>
      <c r="AI108" s="213"/>
      <c r="AJ108" s="215">
        <f>IF(F108="","",LOOKUP(C108,'Gem types'!$I$3:$I$29,'Gem types'!$K$3:$K$29))</f>
      </c>
      <c r="AK108" s="215"/>
      <c r="AL108" s="215"/>
      <c r="AM108" s="215"/>
      <c r="AN108" s="215">
        <f>IF(F108="","",LOOKUP(C108,'Gem types'!$I$3:$I$29,'Gem types'!$L$3:$L$29))</f>
      </c>
      <c r="AO108" s="215"/>
      <c r="AP108" s="215"/>
      <c r="AQ108" s="215"/>
      <c r="AS108" s="219">
        <f t="shared" si="16"/>
      </c>
      <c r="AT108" s="219"/>
    </row>
    <row r="109" spans="1:46" s="99" customFormat="1" ht="21" customHeight="1">
      <c r="A109" s="127">
        <f>'Treasurer Creator'!AC30</f>
        <v>0</v>
      </c>
      <c r="B109" s="127">
        <f ca="1" t="shared" si="14"/>
        <v>33</v>
      </c>
      <c r="C109" s="128">
        <f ca="1" t="shared" si="15"/>
        <v>25</v>
      </c>
      <c r="D109" s="128">
        <f>SUM(LOOKUP(B109,'Gem types'!$B$3:$B$55,'Gem types'!$G$3:$G$55),PRODUCT(LOOKUP(B109,'Gem types'!$B$3:$B$55,'Gem types'!$G$3:$G$55),LOOKUP(C109,'Gem types'!$I$3:$I$29,'Gem types'!$J$3:$J$29)))</f>
        <v>40</v>
      </c>
      <c r="E109" s="98">
        <f t="shared" si="17"/>
      </c>
      <c r="F109" s="213">
        <f>IF(E109="","",LOOKUP(B109,'Gem types'!B3:C55,'Gem types'!C3:C55))</f>
      </c>
      <c r="G109" s="213"/>
      <c r="H109" s="213"/>
      <c r="I109" s="213"/>
      <c r="J109" s="213"/>
      <c r="K109" s="213"/>
      <c r="L109" s="213"/>
      <c r="M109" s="213"/>
      <c r="N109" s="213"/>
      <c r="O109" s="213">
        <f>IF(E109="","",LOOKUP(B109,'Gem types'!$B$3:$C$55,'Gem types'!$D$3:$D$55))</f>
      </c>
      <c r="P109" s="213"/>
      <c r="Q109" s="213"/>
      <c r="R109" s="213"/>
      <c r="S109" s="213"/>
      <c r="T109" s="213"/>
      <c r="U109" s="213"/>
      <c r="V109" s="213"/>
      <c r="W109" s="213"/>
      <c r="X109" s="213">
        <f>IF(E109="","",LOOKUP(B109,'Gem types'!$B$3:$C$55,'Gem types'!$F$3:$F$55))</f>
      </c>
      <c r="Y109" s="213"/>
      <c r="Z109" s="213"/>
      <c r="AA109" s="213"/>
      <c r="AB109" s="213"/>
      <c r="AC109" s="213"/>
      <c r="AD109" s="213"/>
      <c r="AE109" s="213"/>
      <c r="AF109" s="215">
        <f t="shared" si="13"/>
      </c>
      <c r="AG109" s="213"/>
      <c r="AH109" s="213"/>
      <c r="AI109" s="213"/>
      <c r="AJ109" s="215">
        <f>IF(F109="","",LOOKUP(C109,'Gem types'!$I$3:$I$29,'Gem types'!$K$3:$K$29))</f>
      </c>
      <c r="AK109" s="215"/>
      <c r="AL109" s="215"/>
      <c r="AM109" s="215"/>
      <c r="AN109" s="215">
        <f>IF(F109="","",LOOKUP(C109,'Gem types'!$I$3:$I$29,'Gem types'!$L$3:$L$29))</f>
      </c>
      <c r="AO109" s="215"/>
      <c r="AP109" s="215"/>
      <c r="AQ109" s="215"/>
      <c r="AS109" s="219">
        <f t="shared" si="16"/>
      </c>
      <c r="AT109" s="219"/>
    </row>
    <row r="110" spans="1:46" s="99" customFormat="1" ht="21" customHeight="1">
      <c r="A110" s="127">
        <f>'Treasurer Creator'!AC30</f>
        <v>0</v>
      </c>
      <c r="B110" s="127">
        <f ca="1" t="shared" si="14"/>
        <v>6</v>
      </c>
      <c r="C110" s="128">
        <f ca="1" t="shared" si="15"/>
        <v>3</v>
      </c>
      <c r="D110" s="128">
        <f>SUM(LOOKUP(B110,'Gem types'!$B$3:$B$55,'Gem types'!$G$3:$G$55),PRODUCT(LOOKUP(B110,'Gem types'!$B$3:$B$55,'Gem types'!$G$3:$G$55),LOOKUP(C110,'Gem types'!$I$3:$I$29,'Gem types'!$J$3:$J$29)))</f>
        <v>60</v>
      </c>
      <c r="E110" s="98">
        <f t="shared" si="17"/>
      </c>
      <c r="F110" s="213">
        <f>IF(E110="","",LOOKUP(B110,'Gem types'!B3:C55,'Gem types'!C3:C55))</f>
      </c>
      <c r="G110" s="213"/>
      <c r="H110" s="213"/>
      <c r="I110" s="213"/>
      <c r="J110" s="213"/>
      <c r="K110" s="213"/>
      <c r="L110" s="213"/>
      <c r="M110" s="213"/>
      <c r="N110" s="213"/>
      <c r="O110" s="213">
        <f>IF(E110="","",LOOKUP(B110,'Gem types'!$B$3:$C$55,'Gem types'!$D$3:$D$55))</f>
      </c>
      <c r="P110" s="213"/>
      <c r="Q110" s="213"/>
      <c r="R110" s="213"/>
      <c r="S110" s="213"/>
      <c r="T110" s="213"/>
      <c r="U110" s="213"/>
      <c r="V110" s="213"/>
      <c r="W110" s="213"/>
      <c r="X110" s="213">
        <f>IF(E110="","",LOOKUP(B110,'Gem types'!$B$3:$C$55,'Gem types'!$F$3:$F$55))</f>
      </c>
      <c r="Y110" s="213"/>
      <c r="Z110" s="213"/>
      <c r="AA110" s="213"/>
      <c r="AB110" s="213"/>
      <c r="AC110" s="213"/>
      <c r="AD110" s="213"/>
      <c r="AE110" s="213"/>
      <c r="AF110" s="215">
        <f t="shared" si="13"/>
      </c>
      <c r="AG110" s="213"/>
      <c r="AH110" s="213"/>
      <c r="AI110" s="213"/>
      <c r="AJ110" s="215">
        <f>IF(F110="","",LOOKUP(C110,'Gem types'!$I$3:$I$29,'Gem types'!$K$3:$K$29))</f>
      </c>
      <c r="AK110" s="215"/>
      <c r="AL110" s="215"/>
      <c r="AM110" s="215"/>
      <c r="AN110" s="215">
        <f>IF(F110="","",LOOKUP(C110,'Gem types'!$I$3:$I$29,'Gem types'!$L$3:$L$29))</f>
      </c>
      <c r="AO110" s="215"/>
      <c r="AP110" s="215"/>
      <c r="AQ110" s="215"/>
      <c r="AS110" s="219">
        <f t="shared" si="16"/>
      </c>
      <c r="AT110" s="219"/>
    </row>
    <row r="111" spans="1:46" s="99" customFormat="1" ht="21" customHeight="1">
      <c r="A111" s="127">
        <f>'Treasurer Creator'!AC30</f>
        <v>0</v>
      </c>
      <c r="B111" s="127">
        <f ca="1" t="shared" si="14"/>
        <v>2</v>
      </c>
      <c r="C111" s="128">
        <f ca="1" t="shared" si="15"/>
        <v>10</v>
      </c>
      <c r="D111" s="128">
        <f>SUM(LOOKUP(B111,'Gem types'!$B$3:$B$55,'Gem types'!$G$3:$G$55),PRODUCT(LOOKUP(B111,'Gem types'!$B$3:$B$55,'Gem types'!$G$3:$G$55),LOOKUP(C111,'Gem types'!$I$3:$I$29,'Gem types'!$J$3:$J$29)))</f>
        <v>12</v>
      </c>
      <c r="E111" s="98">
        <f t="shared" si="17"/>
      </c>
      <c r="F111" s="213">
        <f>IF(E111="","",LOOKUP(B111,'Gem types'!B3:C55,'Gem types'!C3:C55))</f>
      </c>
      <c r="G111" s="213"/>
      <c r="H111" s="213"/>
      <c r="I111" s="213"/>
      <c r="J111" s="213"/>
      <c r="K111" s="213"/>
      <c r="L111" s="213"/>
      <c r="M111" s="213"/>
      <c r="N111" s="213"/>
      <c r="O111" s="213">
        <f>IF(E111="","",LOOKUP(B111,'Gem types'!$B$3:$C$55,'Gem types'!$D$3:$D$55))</f>
      </c>
      <c r="P111" s="213"/>
      <c r="Q111" s="213"/>
      <c r="R111" s="213"/>
      <c r="S111" s="213"/>
      <c r="T111" s="213"/>
      <c r="U111" s="213"/>
      <c r="V111" s="213"/>
      <c r="W111" s="213"/>
      <c r="X111" s="213">
        <f>IF(E111="","",LOOKUP(B111,'Gem types'!$B$3:$C$55,'Gem types'!$F$3:$F$55))</f>
      </c>
      <c r="Y111" s="213"/>
      <c r="Z111" s="213"/>
      <c r="AA111" s="213"/>
      <c r="AB111" s="213"/>
      <c r="AC111" s="213"/>
      <c r="AD111" s="213"/>
      <c r="AE111" s="213"/>
      <c r="AF111" s="215">
        <f t="shared" si="13"/>
      </c>
      <c r="AG111" s="213"/>
      <c r="AH111" s="213"/>
      <c r="AI111" s="213"/>
      <c r="AJ111" s="215">
        <f>IF(F111="","",LOOKUP(C111,'Gem types'!$I$3:$I$29,'Gem types'!$K$3:$K$29))</f>
      </c>
      <c r="AK111" s="215"/>
      <c r="AL111" s="215"/>
      <c r="AM111" s="215"/>
      <c r="AN111" s="215">
        <f>IF(F111="","",LOOKUP(C111,'Gem types'!$I$3:$I$29,'Gem types'!$L$3:$L$29))</f>
      </c>
      <c r="AO111" s="215"/>
      <c r="AP111" s="215"/>
      <c r="AQ111" s="215"/>
      <c r="AS111" s="219">
        <f t="shared" si="16"/>
      </c>
      <c r="AT111" s="219"/>
    </row>
    <row r="112" spans="1:46" s="99" customFormat="1" ht="21" customHeight="1">
      <c r="A112" s="127">
        <f>'Treasurer Creator'!AC30</f>
        <v>0</v>
      </c>
      <c r="B112" s="127">
        <f ca="1" t="shared" si="14"/>
        <v>51</v>
      </c>
      <c r="C112" s="128">
        <f ca="1" t="shared" si="15"/>
        <v>12</v>
      </c>
      <c r="D112" s="128">
        <f>SUM(LOOKUP(B112,'Gem types'!$B$3:$B$55,'Gem types'!$G$3:$G$55),PRODUCT(LOOKUP(B112,'Gem types'!$B$3:$B$55,'Gem types'!$G$3:$G$55),LOOKUP(C112,'Gem types'!$I$3:$I$29,'Gem types'!$J$3:$J$29)))</f>
        <v>1400</v>
      </c>
      <c r="E112" s="98">
        <f t="shared" si="17"/>
      </c>
      <c r="F112" s="213">
        <f>IF(E112="","",LOOKUP(B112,'Gem types'!B3:C55,'Gem types'!C3:C55))</f>
      </c>
      <c r="G112" s="213"/>
      <c r="H112" s="213"/>
      <c r="I112" s="213"/>
      <c r="J112" s="213"/>
      <c r="K112" s="213"/>
      <c r="L112" s="213"/>
      <c r="M112" s="213"/>
      <c r="N112" s="213"/>
      <c r="O112" s="213">
        <f>IF(E112="","",LOOKUP(B112,'Gem types'!$B$3:$C$55,'Gem types'!$D$3:$D$55))</f>
      </c>
      <c r="P112" s="213"/>
      <c r="Q112" s="213"/>
      <c r="R112" s="213"/>
      <c r="S112" s="213"/>
      <c r="T112" s="213"/>
      <c r="U112" s="213"/>
      <c r="V112" s="213"/>
      <c r="W112" s="213"/>
      <c r="X112" s="213">
        <f>IF(E112="","",LOOKUP(B112,'Gem types'!$B$3:$C$55,'Gem types'!$F$3:$F$55))</f>
      </c>
      <c r="Y112" s="213"/>
      <c r="Z112" s="213"/>
      <c r="AA112" s="213"/>
      <c r="AB112" s="213"/>
      <c r="AC112" s="213"/>
      <c r="AD112" s="213"/>
      <c r="AE112" s="213"/>
      <c r="AF112" s="215">
        <f t="shared" si="13"/>
      </c>
      <c r="AG112" s="213"/>
      <c r="AH112" s="213"/>
      <c r="AI112" s="213"/>
      <c r="AJ112" s="215">
        <f>IF(F112="","",LOOKUP(C112,'Gem types'!$I$3:$I$29,'Gem types'!$K$3:$K$29))</f>
      </c>
      <c r="AK112" s="215"/>
      <c r="AL112" s="215"/>
      <c r="AM112" s="215"/>
      <c r="AN112" s="215">
        <f>IF(F112="","",LOOKUP(C112,'Gem types'!$I$3:$I$29,'Gem types'!$L$3:$L$29))</f>
      </c>
      <c r="AO112" s="215"/>
      <c r="AP112" s="215"/>
      <c r="AQ112" s="215"/>
      <c r="AS112" s="219">
        <f t="shared" si="16"/>
      </c>
      <c r="AT112" s="219"/>
    </row>
    <row r="113" spans="1:46" s="99" customFormat="1" ht="21" customHeight="1">
      <c r="A113" s="127">
        <f>'Treasurer Creator'!AC30</f>
        <v>0</v>
      </c>
      <c r="B113" s="127">
        <f ca="1" t="shared" si="14"/>
        <v>51</v>
      </c>
      <c r="C113" s="128">
        <f ca="1" t="shared" si="15"/>
        <v>24</v>
      </c>
      <c r="D113" s="128">
        <f>SUM(LOOKUP(B113,'Gem types'!$B$3:$B$55,'Gem types'!$G$3:$G$55),PRODUCT(LOOKUP(B113,'Gem types'!$B$3:$B$55,'Gem types'!$G$3:$G$55),LOOKUP(C113,'Gem types'!$I$3:$I$29,'Gem types'!$J$3:$J$29)))</f>
        <v>500</v>
      </c>
      <c r="E113" s="98">
        <f t="shared" si="17"/>
      </c>
      <c r="F113" s="213">
        <f>IF(E113="","",LOOKUP(B113,'Gem types'!B3:C55,'Gem types'!C3:C55))</f>
      </c>
      <c r="G113" s="213"/>
      <c r="H113" s="213"/>
      <c r="I113" s="213"/>
      <c r="J113" s="213"/>
      <c r="K113" s="213"/>
      <c r="L113" s="213"/>
      <c r="M113" s="213"/>
      <c r="N113" s="213"/>
      <c r="O113" s="213">
        <f>IF(E113="","",LOOKUP(B113,'Gem types'!$B$3:$C$55,'Gem types'!$D$3:$D$55))</f>
      </c>
      <c r="P113" s="213"/>
      <c r="Q113" s="213"/>
      <c r="R113" s="213"/>
      <c r="S113" s="213"/>
      <c r="T113" s="213"/>
      <c r="U113" s="213"/>
      <c r="V113" s="213"/>
      <c r="W113" s="213"/>
      <c r="X113" s="213">
        <f>IF(E113="","",LOOKUP(B113,'Gem types'!$B$3:$C$55,'Gem types'!$F$3:$F$55))</f>
      </c>
      <c r="Y113" s="213"/>
      <c r="Z113" s="213"/>
      <c r="AA113" s="213"/>
      <c r="AB113" s="213"/>
      <c r="AC113" s="213"/>
      <c r="AD113" s="213"/>
      <c r="AE113" s="213"/>
      <c r="AF113" s="215">
        <f t="shared" si="13"/>
      </c>
      <c r="AG113" s="213"/>
      <c r="AH113" s="213"/>
      <c r="AI113" s="213"/>
      <c r="AJ113" s="215">
        <f>IF(F113="","",LOOKUP(C113,'Gem types'!$I$3:$I$29,'Gem types'!$K$3:$K$29))</f>
      </c>
      <c r="AK113" s="215"/>
      <c r="AL113" s="215"/>
      <c r="AM113" s="215"/>
      <c r="AN113" s="215">
        <f>IF(F113="","",LOOKUP(C113,'Gem types'!$I$3:$I$29,'Gem types'!$L$3:$L$29))</f>
      </c>
      <c r="AO113" s="215"/>
      <c r="AP113" s="215"/>
      <c r="AQ113" s="215"/>
      <c r="AS113" s="219">
        <f t="shared" si="16"/>
      </c>
      <c r="AT113" s="219"/>
    </row>
    <row r="114" spans="1:46" s="99" customFormat="1" ht="21" customHeight="1">
      <c r="A114" s="127">
        <f>'Treasurer Creator'!AC30</f>
        <v>0</v>
      </c>
      <c r="B114" s="127">
        <f ca="1" t="shared" si="14"/>
        <v>34</v>
      </c>
      <c r="C114" s="128">
        <f ca="1" t="shared" si="15"/>
        <v>25</v>
      </c>
      <c r="D114" s="128">
        <f>SUM(LOOKUP(B114,'Gem types'!$B$3:$B$55,'Gem types'!$G$3:$G$55),PRODUCT(LOOKUP(B114,'Gem types'!$B$3:$B$55,'Gem types'!$G$3:$G$55),LOOKUP(C114,'Gem types'!$I$3:$I$29,'Gem types'!$J$3:$J$29)))</f>
        <v>40</v>
      </c>
      <c r="E114" s="98">
        <f t="shared" si="17"/>
      </c>
      <c r="F114" s="213">
        <f>IF(E114="","",LOOKUP(B114,'Gem types'!B3:C55,'Gem types'!C3:C55))</f>
      </c>
      <c r="G114" s="213"/>
      <c r="H114" s="213"/>
      <c r="I114" s="213"/>
      <c r="J114" s="213"/>
      <c r="K114" s="213"/>
      <c r="L114" s="213"/>
      <c r="M114" s="213"/>
      <c r="N114" s="213"/>
      <c r="O114" s="213">
        <f>IF(E114="","",LOOKUP(B114,'Gem types'!$B$3:$C$55,'Gem types'!$D$3:$D$55))</f>
      </c>
      <c r="P114" s="213"/>
      <c r="Q114" s="213"/>
      <c r="R114" s="213"/>
      <c r="S114" s="213"/>
      <c r="T114" s="213"/>
      <c r="U114" s="213"/>
      <c r="V114" s="213"/>
      <c r="W114" s="213"/>
      <c r="X114" s="213">
        <f>IF(E114="","",LOOKUP(B114,'Gem types'!$B$3:$C$55,'Gem types'!$F$3:$F$55))</f>
      </c>
      <c r="Y114" s="213"/>
      <c r="Z114" s="213"/>
      <c r="AA114" s="213"/>
      <c r="AB114" s="213"/>
      <c r="AC114" s="213"/>
      <c r="AD114" s="213"/>
      <c r="AE114" s="213"/>
      <c r="AF114" s="215">
        <f t="shared" si="13"/>
      </c>
      <c r="AG114" s="213"/>
      <c r="AH114" s="213"/>
      <c r="AI114" s="213"/>
      <c r="AJ114" s="215">
        <f>IF(F114="","",LOOKUP(C114,'Gem types'!$I$3:$I$29,'Gem types'!$K$3:$K$29))</f>
      </c>
      <c r="AK114" s="215"/>
      <c r="AL114" s="215"/>
      <c r="AM114" s="215"/>
      <c r="AN114" s="215">
        <f>IF(F114="","",LOOKUP(C114,'Gem types'!$I$3:$I$29,'Gem types'!$L$3:$L$29))</f>
      </c>
      <c r="AO114" s="215"/>
      <c r="AP114" s="215"/>
      <c r="AQ114" s="215"/>
      <c r="AS114" s="219">
        <f t="shared" si="16"/>
      </c>
      <c r="AT114" s="219"/>
    </row>
    <row r="115" spans="1:46" s="99" customFormat="1" ht="21" customHeight="1">
      <c r="A115" s="127">
        <f>'Treasurer Creator'!AC30</f>
        <v>0</v>
      </c>
      <c r="B115" s="127">
        <f ca="1" t="shared" si="14"/>
        <v>5</v>
      </c>
      <c r="C115" s="128">
        <f ca="1" t="shared" si="15"/>
        <v>19</v>
      </c>
      <c r="D115" s="128">
        <f>SUM(LOOKUP(B115,'Gem types'!$B$3:$B$55,'Gem types'!$G$3:$G$55),PRODUCT(LOOKUP(B115,'Gem types'!$B$3:$B$55,'Gem types'!$G$3:$G$55),LOOKUP(C115,'Gem types'!$I$3:$I$29,'Gem types'!$J$3:$J$29)))</f>
        <v>60</v>
      </c>
      <c r="E115" s="98">
        <f t="shared" si="17"/>
      </c>
      <c r="F115" s="213">
        <f>IF(E115="","",LOOKUP(B115,'Gem types'!B3:C55,'Gem types'!C3:C55))</f>
      </c>
      <c r="G115" s="213"/>
      <c r="H115" s="213"/>
      <c r="I115" s="213"/>
      <c r="J115" s="213"/>
      <c r="K115" s="213"/>
      <c r="L115" s="213"/>
      <c r="M115" s="213"/>
      <c r="N115" s="213"/>
      <c r="O115" s="213">
        <f>IF(E115="","",LOOKUP(B115,'Gem types'!$B$3:$C$55,'Gem types'!$D$3:$D$55))</f>
      </c>
      <c r="P115" s="213"/>
      <c r="Q115" s="213"/>
      <c r="R115" s="213"/>
      <c r="S115" s="213"/>
      <c r="T115" s="213"/>
      <c r="U115" s="213"/>
      <c r="V115" s="213"/>
      <c r="W115" s="213"/>
      <c r="X115" s="213">
        <f>IF(E115="","",LOOKUP(B115,'Gem types'!$B$3:$C$55,'Gem types'!$F$3:$F$55))</f>
      </c>
      <c r="Y115" s="213"/>
      <c r="Z115" s="213"/>
      <c r="AA115" s="213"/>
      <c r="AB115" s="213"/>
      <c r="AC115" s="213"/>
      <c r="AD115" s="213"/>
      <c r="AE115" s="213"/>
      <c r="AF115" s="215">
        <f t="shared" si="13"/>
      </c>
      <c r="AG115" s="213"/>
      <c r="AH115" s="213"/>
      <c r="AI115" s="213"/>
      <c r="AJ115" s="215">
        <f>IF(F115="","",LOOKUP(C115,'Gem types'!$I$3:$I$29,'Gem types'!$K$3:$K$29))</f>
      </c>
      <c r="AK115" s="215"/>
      <c r="AL115" s="215"/>
      <c r="AM115" s="215"/>
      <c r="AN115" s="215">
        <f>IF(F115="","",LOOKUP(C115,'Gem types'!$I$3:$I$29,'Gem types'!$L$3:$L$29))</f>
      </c>
      <c r="AO115" s="215"/>
      <c r="AP115" s="215"/>
      <c r="AQ115" s="215"/>
      <c r="AS115" s="219">
        <f t="shared" si="16"/>
      </c>
      <c r="AT115" s="219"/>
    </row>
    <row r="116" spans="1:46" s="99" customFormat="1" ht="21" customHeight="1">
      <c r="A116" s="127">
        <f>'Treasurer Creator'!AC30</f>
        <v>0</v>
      </c>
      <c r="B116" s="127">
        <f ca="1" t="shared" si="14"/>
        <v>41</v>
      </c>
      <c r="C116" s="128">
        <f ca="1" t="shared" si="15"/>
        <v>10</v>
      </c>
      <c r="D116" s="128">
        <f>SUM(LOOKUP(B116,'Gem types'!$B$3:$B$55,'Gem types'!$G$3:$G$55),PRODUCT(LOOKUP(B116,'Gem types'!$B$3:$B$55,'Gem types'!$G$3:$G$55),LOOKUP(C116,'Gem types'!$I$3:$I$29,'Gem types'!$J$3:$J$29)))</f>
        <v>6000</v>
      </c>
      <c r="E116" s="98">
        <f t="shared" si="17"/>
      </c>
      <c r="F116" s="213">
        <f>IF(E116="","",LOOKUP(B116,'Gem types'!B3:C55,'Gem types'!C3:C55))</f>
      </c>
      <c r="G116" s="213"/>
      <c r="H116" s="213"/>
      <c r="I116" s="213"/>
      <c r="J116" s="213"/>
      <c r="K116" s="213"/>
      <c r="L116" s="213"/>
      <c r="M116" s="213"/>
      <c r="N116" s="213"/>
      <c r="O116" s="213">
        <f>IF(E116="","",LOOKUP(B116,'Gem types'!$B$3:$C$55,'Gem types'!$D$3:$D$55))</f>
      </c>
      <c r="P116" s="213"/>
      <c r="Q116" s="213"/>
      <c r="R116" s="213"/>
      <c r="S116" s="213"/>
      <c r="T116" s="213"/>
      <c r="U116" s="213"/>
      <c r="V116" s="213"/>
      <c r="W116" s="213"/>
      <c r="X116" s="213">
        <f>IF(E116="","",LOOKUP(B116,'Gem types'!$B$3:$C$55,'Gem types'!$F$3:$F$55))</f>
      </c>
      <c r="Y116" s="213"/>
      <c r="Z116" s="213"/>
      <c r="AA116" s="213"/>
      <c r="AB116" s="213"/>
      <c r="AC116" s="213"/>
      <c r="AD116" s="213"/>
      <c r="AE116" s="213"/>
      <c r="AF116" s="215">
        <f t="shared" si="13"/>
      </c>
      <c r="AG116" s="213"/>
      <c r="AH116" s="213"/>
      <c r="AI116" s="213"/>
      <c r="AJ116" s="215">
        <f>IF(F116="","",LOOKUP(C116,'Gem types'!$I$3:$I$29,'Gem types'!$K$3:$K$29))</f>
      </c>
      <c r="AK116" s="215"/>
      <c r="AL116" s="215"/>
      <c r="AM116" s="215"/>
      <c r="AN116" s="215">
        <f>IF(F116="","",LOOKUP(C116,'Gem types'!$I$3:$I$29,'Gem types'!$L$3:$L$29))</f>
      </c>
      <c r="AO116" s="215"/>
      <c r="AP116" s="215"/>
      <c r="AQ116" s="215"/>
      <c r="AS116" s="219">
        <f t="shared" si="16"/>
      </c>
      <c r="AT116" s="219"/>
    </row>
    <row r="117" spans="1:46" s="99" customFormat="1" ht="21" customHeight="1">
      <c r="A117" s="127">
        <f>'Treasurer Creator'!AC30</f>
        <v>0</v>
      </c>
      <c r="B117" s="127">
        <f ca="1" t="shared" si="14"/>
        <v>21</v>
      </c>
      <c r="C117" s="128">
        <f ca="1" t="shared" si="15"/>
        <v>11</v>
      </c>
      <c r="D117" s="128">
        <f>SUM(LOOKUP(B117,'Gem types'!$B$3:$B$55,'Gem types'!$G$3:$G$55),PRODUCT(LOOKUP(B117,'Gem types'!$B$3:$B$55,'Gem types'!$G$3:$G$55),LOOKUP(C117,'Gem types'!$I$3:$I$29,'Gem types'!$J$3:$J$29)))</f>
        <v>65</v>
      </c>
      <c r="E117" s="98">
        <f t="shared" si="17"/>
      </c>
      <c r="F117" s="213">
        <f>IF(E117="","",LOOKUP(B117,'Gem types'!B3:C55,'Gem types'!C3:C55))</f>
      </c>
      <c r="G117" s="213"/>
      <c r="H117" s="213"/>
      <c r="I117" s="213"/>
      <c r="J117" s="213"/>
      <c r="K117" s="213"/>
      <c r="L117" s="213"/>
      <c r="M117" s="213"/>
      <c r="N117" s="213"/>
      <c r="O117" s="213">
        <f>IF(E117="","",LOOKUP(B117,'Gem types'!$B$3:$C$55,'Gem types'!$D$3:$D$55))</f>
      </c>
      <c r="P117" s="213"/>
      <c r="Q117" s="213"/>
      <c r="R117" s="213"/>
      <c r="S117" s="213"/>
      <c r="T117" s="213"/>
      <c r="U117" s="213"/>
      <c r="V117" s="213"/>
      <c r="W117" s="213"/>
      <c r="X117" s="213">
        <f>IF(E117="","",LOOKUP(B117,'Gem types'!$B$3:$C$55,'Gem types'!$F$3:$F$55))</f>
      </c>
      <c r="Y117" s="213"/>
      <c r="Z117" s="213"/>
      <c r="AA117" s="213"/>
      <c r="AB117" s="213"/>
      <c r="AC117" s="213"/>
      <c r="AD117" s="213"/>
      <c r="AE117" s="213"/>
      <c r="AF117" s="215">
        <f t="shared" si="13"/>
      </c>
      <c r="AG117" s="213"/>
      <c r="AH117" s="213"/>
      <c r="AI117" s="213"/>
      <c r="AJ117" s="215">
        <f>IF(F117="","",LOOKUP(C117,'Gem types'!$I$3:$I$29,'Gem types'!$K$3:$K$29))</f>
      </c>
      <c r="AK117" s="215"/>
      <c r="AL117" s="215"/>
      <c r="AM117" s="215"/>
      <c r="AN117" s="215">
        <f>IF(F117="","",LOOKUP(C117,'Gem types'!$I$3:$I$29,'Gem types'!$L$3:$L$29))</f>
      </c>
      <c r="AO117" s="215"/>
      <c r="AP117" s="215"/>
      <c r="AQ117" s="215"/>
      <c r="AS117" s="219">
        <f t="shared" si="16"/>
      </c>
      <c r="AT117" s="219"/>
    </row>
    <row r="118" spans="1:46" s="99" customFormat="1" ht="21" customHeight="1">
      <c r="A118" s="127">
        <f>'Treasurer Creator'!AC30</f>
        <v>0</v>
      </c>
      <c r="B118" s="127">
        <f ca="1" t="shared" si="14"/>
        <v>49</v>
      </c>
      <c r="C118" s="128">
        <f ca="1" t="shared" si="15"/>
        <v>21</v>
      </c>
      <c r="D118" s="128">
        <f>SUM(LOOKUP(B118,'Gem types'!$B$3:$B$55,'Gem types'!$G$3:$G$55),PRODUCT(LOOKUP(B118,'Gem types'!$B$3:$B$55,'Gem types'!$G$3:$G$55),LOOKUP(C118,'Gem types'!$I$3:$I$29,'Gem types'!$J$3:$J$29)))</f>
        <v>800</v>
      </c>
      <c r="E118" s="98">
        <f t="shared" si="17"/>
      </c>
      <c r="F118" s="213">
        <f>IF(E118="","",LOOKUP(B118,'Gem types'!B3:C55,'Gem types'!C3:C55))</f>
      </c>
      <c r="G118" s="213"/>
      <c r="H118" s="213"/>
      <c r="I118" s="213"/>
      <c r="J118" s="213"/>
      <c r="K118" s="213"/>
      <c r="L118" s="213"/>
      <c r="M118" s="213"/>
      <c r="N118" s="213"/>
      <c r="O118" s="213">
        <f>IF(E118="","",LOOKUP(B118,'Gem types'!$B$3:$C$55,'Gem types'!$D$3:$D$55))</f>
      </c>
      <c r="P118" s="213"/>
      <c r="Q118" s="213"/>
      <c r="R118" s="213"/>
      <c r="S118" s="213"/>
      <c r="T118" s="213"/>
      <c r="U118" s="213"/>
      <c r="V118" s="213"/>
      <c r="W118" s="213"/>
      <c r="X118" s="213">
        <f>IF(E118="","",LOOKUP(B118,'Gem types'!$B$3:$C$55,'Gem types'!$F$3:$F$55))</f>
      </c>
      <c r="Y118" s="213"/>
      <c r="Z118" s="213"/>
      <c r="AA118" s="213"/>
      <c r="AB118" s="213"/>
      <c r="AC118" s="213"/>
      <c r="AD118" s="213"/>
      <c r="AE118" s="213"/>
      <c r="AF118" s="215">
        <f t="shared" si="13"/>
      </c>
      <c r="AG118" s="213"/>
      <c r="AH118" s="213"/>
      <c r="AI118" s="213"/>
      <c r="AJ118" s="215">
        <f>IF(F118="","",LOOKUP(C118,'Gem types'!$I$3:$I$29,'Gem types'!$K$3:$K$29))</f>
      </c>
      <c r="AK118" s="215"/>
      <c r="AL118" s="215"/>
      <c r="AM118" s="215"/>
      <c r="AN118" s="215">
        <f>IF(F118="","",LOOKUP(C118,'Gem types'!$I$3:$I$29,'Gem types'!$L$3:$L$29))</f>
      </c>
      <c r="AO118" s="215"/>
      <c r="AP118" s="215"/>
      <c r="AQ118" s="215"/>
      <c r="AS118" s="219">
        <f t="shared" si="16"/>
      </c>
      <c r="AT118" s="219"/>
    </row>
    <row r="119" spans="1:46" s="99" customFormat="1" ht="21" customHeight="1">
      <c r="A119" s="127">
        <f>'Treasurer Creator'!AC30</f>
        <v>0</v>
      </c>
      <c r="B119" s="127">
        <f ca="1" t="shared" si="14"/>
        <v>33</v>
      </c>
      <c r="C119" s="128">
        <f ca="1" t="shared" si="15"/>
        <v>14</v>
      </c>
      <c r="D119" s="128">
        <f>SUM(LOOKUP(B119,'Gem types'!$B$3:$B$55,'Gem types'!$G$3:$G$55),PRODUCT(LOOKUP(B119,'Gem types'!$B$3:$B$55,'Gem types'!$G$3:$G$55),LOOKUP(C119,'Gem types'!$I$3:$I$29,'Gem types'!$J$3:$J$29)))</f>
        <v>160</v>
      </c>
      <c r="E119" s="98">
        <f t="shared" si="17"/>
      </c>
      <c r="F119" s="213">
        <f>IF(E119="","",LOOKUP(B119,'Gem types'!B3:C55,'Gem types'!C3:C55))</f>
      </c>
      <c r="G119" s="213"/>
      <c r="H119" s="213"/>
      <c r="I119" s="213"/>
      <c r="J119" s="213"/>
      <c r="K119" s="213"/>
      <c r="L119" s="213"/>
      <c r="M119" s="213"/>
      <c r="N119" s="213"/>
      <c r="O119" s="213">
        <f>IF(E119="","",LOOKUP(B119,'Gem types'!$B$3:$C$55,'Gem types'!$D$3:$D$55))</f>
      </c>
      <c r="P119" s="213"/>
      <c r="Q119" s="213"/>
      <c r="R119" s="213"/>
      <c r="S119" s="213"/>
      <c r="T119" s="213"/>
      <c r="U119" s="213"/>
      <c r="V119" s="213"/>
      <c r="W119" s="213"/>
      <c r="X119" s="213">
        <f>IF(E119="","",LOOKUP(B119,'Gem types'!$B$3:$C$55,'Gem types'!$F$3:$F$55))</f>
      </c>
      <c r="Y119" s="213"/>
      <c r="Z119" s="213"/>
      <c r="AA119" s="213"/>
      <c r="AB119" s="213"/>
      <c r="AC119" s="213"/>
      <c r="AD119" s="213"/>
      <c r="AE119" s="213"/>
      <c r="AF119" s="215">
        <f t="shared" si="13"/>
      </c>
      <c r="AG119" s="213"/>
      <c r="AH119" s="213"/>
      <c r="AI119" s="213"/>
      <c r="AJ119" s="215">
        <f>IF(F119="","",LOOKUP(C119,'Gem types'!$I$3:$I$29,'Gem types'!$K$3:$K$29))</f>
      </c>
      <c r="AK119" s="215"/>
      <c r="AL119" s="215"/>
      <c r="AM119" s="215"/>
      <c r="AN119" s="215">
        <f>IF(F119="","",LOOKUP(C119,'Gem types'!$I$3:$I$29,'Gem types'!$L$3:$L$29))</f>
      </c>
      <c r="AO119" s="215"/>
      <c r="AP119" s="215"/>
      <c r="AQ119" s="215"/>
      <c r="AS119" s="219">
        <f t="shared" si="16"/>
      </c>
      <c r="AT119" s="219"/>
    </row>
    <row r="120" spans="1:46" s="99" customFormat="1" ht="21" customHeight="1">
      <c r="A120" s="127">
        <f>'Treasurer Creator'!AC30</f>
        <v>0</v>
      </c>
      <c r="B120" s="127">
        <f ca="1" t="shared" si="14"/>
        <v>44</v>
      </c>
      <c r="C120" s="128">
        <f ca="1" t="shared" si="15"/>
        <v>8</v>
      </c>
      <c r="D120" s="128">
        <f>SUM(LOOKUP(B120,'Gem types'!$B$3:$B$55,'Gem types'!$G$3:$G$55),PRODUCT(LOOKUP(B120,'Gem types'!$B$3:$B$55,'Gem types'!$G$3:$G$55),LOOKUP(C120,'Gem types'!$I$3:$I$29,'Gem types'!$J$3:$J$29)))</f>
        <v>3000</v>
      </c>
      <c r="E120" s="98">
        <f t="shared" si="17"/>
      </c>
      <c r="F120" s="213">
        <f>IF(E120="","",LOOKUP(B120,'Gem types'!B3:C55,'Gem types'!C3:C55))</f>
      </c>
      <c r="G120" s="213"/>
      <c r="H120" s="213"/>
      <c r="I120" s="213"/>
      <c r="J120" s="213"/>
      <c r="K120" s="213"/>
      <c r="L120" s="213"/>
      <c r="M120" s="213"/>
      <c r="N120" s="213"/>
      <c r="O120" s="213">
        <f>IF(E120="","",LOOKUP(B120,'Gem types'!$B$3:$C$55,'Gem types'!$D$3:$D$55))</f>
      </c>
      <c r="P120" s="213"/>
      <c r="Q120" s="213"/>
      <c r="R120" s="213"/>
      <c r="S120" s="213"/>
      <c r="T120" s="213"/>
      <c r="U120" s="213"/>
      <c r="V120" s="213"/>
      <c r="W120" s="213"/>
      <c r="X120" s="213">
        <f>IF(E120="","",LOOKUP(B120,'Gem types'!$B$3:$C$55,'Gem types'!$F$3:$F$55))</f>
      </c>
      <c r="Y120" s="213"/>
      <c r="Z120" s="213"/>
      <c r="AA120" s="213"/>
      <c r="AB120" s="213"/>
      <c r="AC120" s="213"/>
      <c r="AD120" s="213"/>
      <c r="AE120" s="213"/>
      <c r="AF120" s="215">
        <f t="shared" si="13"/>
      </c>
      <c r="AG120" s="213"/>
      <c r="AH120" s="213"/>
      <c r="AI120" s="213"/>
      <c r="AJ120" s="215">
        <f>IF(F120="","",LOOKUP(C120,'Gem types'!$I$3:$I$29,'Gem types'!$K$3:$K$29))</f>
      </c>
      <c r="AK120" s="215"/>
      <c r="AL120" s="215"/>
      <c r="AM120" s="215"/>
      <c r="AN120" s="215">
        <f>IF(F120="","",LOOKUP(C120,'Gem types'!$I$3:$I$29,'Gem types'!$L$3:$L$29))</f>
      </c>
      <c r="AO120" s="215"/>
      <c r="AP120" s="215"/>
      <c r="AQ120" s="215"/>
      <c r="AS120" s="219">
        <f t="shared" si="16"/>
      </c>
      <c r="AT120" s="219"/>
    </row>
    <row r="121" spans="1:46" s="99" customFormat="1" ht="21" customHeight="1">
      <c r="A121" s="127">
        <f>'Treasurer Creator'!AC30</f>
        <v>0</v>
      </c>
      <c r="B121" s="127">
        <f ca="1" t="shared" si="14"/>
        <v>4</v>
      </c>
      <c r="C121" s="128">
        <f ca="1" t="shared" si="15"/>
        <v>25</v>
      </c>
      <c r="D121" s="128">
        <f>SUM(LOOKUP(B121,'Gem types'!$B$3:$B$55,'Gem types'!$G$3:$G$55),PRODUCT(LOOKUP(B121,'Gem types'!$B$3:$B$55,'Gem types'!$G$3:$G$55),LOOKUP(C121,'Gem types'!$I$3:$I$29,'Gem types'!$J$3:$J$29)))</f>
        <v>4</v>
      </c>
      <c r="E121" s="98">
        <f t="shared" si="17"/>
      </c>
      <c r="F121" s="213">
        <f>IF(E121="","",LOOKUP(B121,'Gem types'!B3:C55,'Gem types'!C3:C55))</f>
      </c>
      <c r="G121" s="213"/>
      <c r="H121" s="213"/>
      <c r="I121" s="213"/>
      <c r="J121" s="213"/>
      <c r="K121" s="213"/>
      <c r="L121" s="213"/>
      <c r="M121" s="213"/>
      <c r="N121" s="213"/>
      <c r="O121" s="213">
        <f>IF(E121="","",LOOKUP(B121,'Gem types'!$B$3:$C$55,'Gem types'!$D$3:$D$55))</f>
      </c>
      <c r="P121" s="213"/>
      <c r="Q121" s="213"/>
      <c r="R121" s="213"/>
      <c r="S121" s="213"/>
      <c r="T121" s="213"/>
      <c r="U121" s="213"/>
      <c r="V121" s="213"/>
      <c r="W121" s="213"/>
      <c r="X121" s="213">
        <f>IF(E121="","",LOOKUP(B121,'Gem types'!$B$3:$C$55,'Gem types'!$F$3:$F$55))</f>
      </c>
      <c r="Y121" s="213"/>
      <c r="Z121" s="213"/>
      <c r="AA121" s="213"/>
      <c r="AB121" s="213"/>
      <c r="AC121" s="213"/>
      <c r="AD121" s="213"/>
      <c r="AE121" s="213"/>
      <c r="AF121" s="215">
        <f t="shared" si="13"/>
      </c>
      <c r="AG121" s="213"/>
      <c r="AH121" s="213"/>
      <c r="AI121" s="213"/>
      <c r="AJ121" s="215">
        <f>IF(F121="","",LOOKUP(C121,'Gem types'!$I$3:$I$29,'Gem types'!$K$3:$K$29))</f>
      </c>
      <c r="AK121" s="215"/>
      <c r="AL121" s="215"/>
      <c r="AM121" s="215"/>
      <c r="AN121" s="215">
        <f>IF(F121="","",LOOKUP(C121,'Gem types'!$I$3:$I$29,'Gem types'!$L$3:$L$29))</f>
      </c>
      <c r="AO121" s="215"/>
      <c r="AP121" s="215"/>
      <c r="AQ121" s="215"/>
      <c r="AS121" s="219">
        <f t="shared" si="16"/>
      </c>
      <c r="AT121" s="219"/>
    </row>
    <row r="122" spans="1:46" s="99" customFormat="1" ht="21" customHeight="1">
      <c r="A122" s="127">
        <f>'Treasurer Creator'!AC30</f>
        <v>0</v>
      </c>
      <c r="B122" s="127">
        <f ca="1" t="shared" si="14"/>
        <v>4</v>
      </c>
      <c r="C122" s="128">
        <f ca="1" t="shared" si="15"/>
        <v>17</v>
      </c>
      <c r="D122" s="128">
        <f>SUM(LOOKUP(B122,'Gem types'!$B$3:$B$55,'Gem types'!$G$3:$G$55),PRODUCT(LOOKUP(B122,'Gem types'!$B$3:$B$55,'Gem types'!$G$3:$G$55),LOOKUP(C122,'Gem types'!$I$3:$I$29,'Gem types'!$J$3:$J$29)))</f>
        <v>40</v>
      </c>
      <c r="E122" s="98">
        <f t="shared" si="17"/>
      </c>
      <c r="F122" s="213">
        <f>IF(E122="","",LOOKUP(B122,'Gem types'!B3:C55,'Gem types'!C3:C55))</f>
      </c>
      <c r="G122" s="213"/>
      <c r="H122" s="213"/>
      <c r="I122" s="213"/>
      <c r="J122" s="213"/>
      <c r="K122" s="213"/>
      <c r="L122" s="213"/>
      <c r="M122" s="213"/>
      <c r="N122" s="213"/>
      <c r="O122" s="213">
        <f>IF(E122="","",LOOKUP(B122,'Gem types'!$B$3:$C$55,'Gem types'!$D$3:$D$55))</f>
      </c>
      <c r="P122" s="213"/>
      <c r="Q122" s="213"/>
      <c r="R122" s="213"/>
      <c r="S122" s="213"/>
      <c r="T122" s="213"/>
      <c r="U122" s="213"/>
      <c r="V122" s="213"/>
      <c r="W122" s="213"/>
      <c r="X122" s="213">
        <f>IF(E122="","",LOOKUP(B122,'Gem types'!$B$3:$C$55,'Gem types'!$F$3:$F$55))</f>
      </c>
      <c r="Y122" s="213"/>
      <c r="Z122" s="213"/>
      <c r="AA122" s="213"/>
      <c r="AB122" s="213"/>
      <c r="AC122" s="213"/>
      <c r="AD122" s="213"/>
      <c r="AE122" s="213"/>
      <c r="AF122" s="215">
        <f t="shared" si="13"/>
      </c>
      <c r="AG122" s="213"/>
      <c r="AH122" s="213"/>
      <c r="AI122" s="213"/>
      <c r="AJ122" s="215">
        <f>IF(F122="","",LOOKUP(C122,'Gem types'!$I$3:$I$29,'Gem types'!$K$3:$K$29))</f>
      </c>
      <c r="AK122" s="215"/>
      <c r="AL122" s="215"/>
      <c r="AM122" s="215"/>
      <c r="AN122" s="215">
        <f>IF(F122="","",LOOKUP(C122,'Gem types'!$I$3:$I$29,'Gem types'!$L$3:$L$29))</f>
      </c>
      <c r="AO122" s="215"/>
      <c r="AP122" s="215"/>
      <c r="AQ122" s="215"/>
      <c r="AS122" s="219">
        <f t="shared" si="16"/>
      </c>
      <c r="AT122" s="219"/>
    </row>
    <row r="123" spans="1:46" s="99" customFormat="1" ht="21" customHeight="1">
      <c r="A123" s="127">
        <f>'Treasurer Creator'!AC30</f>
        <v>0</v>
      </c>
      <c r="B123" s="127">
        <f ca="1" t="shared" si="14"/>
        <v>6</v>
      </c>
      <c r="C123" s="128">
        <f ca="1" t="shared" si="15"/>
        <v>2</v>
      </c>
      <c r="D123" s="128">
        <f>SUM(LOOKUP(B123,'Gem types'!$B$3:$B$55,'Gem types'!$G$3:$G$55),PRODUCT(LOOKUP(B123,'Gem types'!$B$3:$B$55,'Gem types'!$G$3:$G$55),LOOKUP(C123,'Gem types'!$I$3:$I$29,'Gem types'!$J$3:$J$29)))</f>
        <v>110</v>
      </c>
      <c r="E123" s="98">
        <f t="shared" si="17"/>
      </c>
      <c r="F123" s="213">
        <f>IF(E123="","",LOOKUP(B123,'Gem types'!B3:C55,'Gem types'!C3:C55))</f>
      </c>
      <c r="G123" s="213"/>
      <c r="H123" s="213"/>
      <c r="I123" s="213"/>
      <c r="J123" s="213"/>
      <c r="K123" s="213"/>
      <c r="L123" s="213"/>
      <c r="M123" s="213"/>
      <c r="N123" s="213"/>
      <c r="O123" s="213">
        <f>IF(E123="","",LOOKUP(B123,'Gem types'!$B$3:$C$55,'Gem types'!$D$3:$D$55))</f>
      </c>
      <c r="P123" s="213"/>
      <c r="Q123" s="213"/>
      <c r="R123" s="213"/>
      <c r="S123" s="213"/>
      <c r="T123" s="213"/>
      <c r="U123" s="213"/>
      <c r="V123" s="213"/>
      <c r="W123" s="213"/>
      <c r="X123" s="213">
        <f>IF(E123="","",LOOKUP(B123,'Gem types'!$B$3:$C$55,'Gem types'!$F$3:$F$55))</f>
      </c>
      <c r="Y123" s="213"/>
      <c r="Z123" s="213"/>
      <c r="AA123" s="213"/>
      <c r="AB123" s="213"/>
      <c r="AC123" s="213"/>
      <c r="AD123" s="213"/>
      <c r="AE123" s="213"/>
      <c r="AF123" s="215">
        <f t="shared" si="13"/>
      </c>
      <c r="AG123" s="213"/>
      <c r="AH123" s="213"/>
      <c r="AI123" s="213"/>
      <c r="AJ123" s="215">
        <f>IF(F123="","",LOOKUP(C123,'Gem types'!$I$3:$I$29,'Gem types'!$K$3:$K$29))</f>
      </c>
      <c r="AK123" s="215"/>
      <c r="AL123" s="215"/>
      <c r="AM123" s="215"/>
      <c r="AN123" s="215">
        <f>IF(F123="","",LOOKUP(C123,'Gem types'!$I$3:$I$29,'Gem types'!$L$3:$L$29))</f>
      </c>
      <c r="AO123" s="215"/>
      <c r="AP123" s="215"/>
      <c r="AQ123" s="215"/>
      <c r="AS123" s="219">
        <f t="shared" si="16"/>
      </c>
      <c r="AT123" s="219"/>
    </row>
    <row r="124" spans="1:46" s="99" customFormat="1" ht="21" customHeight="1">
      <c r="A124" s="127">
        <f>'Treasurer Creator'!AC30</f>
        <v>0</v>
      </c>
      <c r="B124" s="127">
        <f ca="1" t="shared" si="14"/>
        <v>6</v>
      </c>
      <c r="C124" s="128">
        <f ca="1" t="shared" si="15"/>
        <v>16</v>
      </c>
      <c r="D124" s="128">
        <f>SUM(LOOKUP(B124,'Gem types'!$B$3:$B$55,'Gem types'!$G$3:$G$55),PRODUCT(LOOKUP(B124,'Gem types'!$B$3:$B$55,'Gem types'!$G$3:$G$55),LOOKUP(C124,'Gem types'!$I$3:$I$29,'Gem types'!$J$3:$J$29)))</f>
        <v>30</v>
      </c>
      <c r="E124" s="98">
        <f t="shared" si="17"/>
      </c>
      <c r="F124" s="213">
        <f>IF(E124="","",LOOKUP(B124,'Gem types'!B3:C55,'Gem types'!C3:C55))</f>
      </c>
      <c r="G124" s="213"/>
      <c r="H124" s="213"/>
      <c r="I124" s="213"/>
      <c r="J124" s="213"/>
      <c r="K124" s="213"/>
      <c r="L124" s="213"/>
      <c r="M124" s="213"/>
      <c r="N124" s="213"/>
      <c r="O124" s="213">
        <f>IF(E124="","",LOOKUP(B124,'Gem types'!$B$3:$C$55,'Gem types'!$D$3:$D$55))</f>
      </c>
      <c r="P124" s="213"/>
      <c r="Q124" s="213"/>
      <c r="R124" s="213"/>
      <c r="S124" s="213"/>
      <c r="T124" s="213"/>
      <c r="U124" s="213"/>
      <c r="V124" s="213"/>
      <c r="W124" s="213"/>
      <c r="X124" s="213">
        <f>IF(E124="","",LOOKUP(B124,'Gem types'!$B$3:$C$55,'Gem types'!$F$3:$F$55))</f>
      </c>
      <c r="Y124" s="213"/>
      <c r="Z124" s="213"/>
      <c r="AA124" s="213"/>
      <c r="AB124" s="213"/>
      <c r="AC124" s="213"/>
      <c r="AD124" s="213"/>
      <c r="AE124" s="213"/>
      <c r="AF124" s="215">
        <f t="shared" si="13"/>
      </c>
      <c r="AG124" s="213"/>
      <c r="AH124" s="213"/>
      <c r="AI124" s="213"/>
      <c r="AJ124" s="215">
        <f>IF(F124="","",LOOKUP(C124,'Gem types'!$I$3:$I$29,'Gem types'!$K$3:$K$29))</f>
      </c>
      <c r="AK124" s="215"/>
      <c r="AL124" s="215"/>
      <c r="AM124" s="215"/>
      <c r="AN124" s="215">
        <f>IF(F124="","",LOOKUP(C124,'Gem types'!$I$3:$I$29,'Gem types'!$L$3:$L$29))</f>
      </c>
      <c r="AO124" s="215"/>
      <c r="AP124" s="215"/>
      <c r="AQ124" s="215"/>
      <c r="AS124" s="219">
        <f t="shared" si="16"/>
      </c>
      <c r="AT124" s="219"/>
    </row>
    <row r="125" spans="1:46" s="99" customFormat="1" ht="21" customHeight="1">
      <c r="A125" s="127">
        <f>'Treasurer Creator'!AC30</f>
        <v>0</v>
      </c>
      <c r="B125" s="127">
        <f ca="1" t="shared" si="14"/>
        <v>39</v>
      </c>
      <c r="C125" s="128">
        <f ca="1" t="shared" si="15"/>
        <v>9</v>
      </c>
      <c r="D125" s="128">
        <f>SUM(LOOKUP(B125,'Gem types'!$B$3:$B$55,'Gem types'!$G$3:$G$55),PRODUCT(LOOKUP(B125,'Gem types'!$B$3:$B$55,'Gem types'!$G$3:$G$55),LOOKUP(C125,'Gem types'!$I$3:$I$29,'Gem types'!$J$3:$J$29)))</f>
        <v>110</v>
      </c>
      <c r="E125" s="98">
        <f t="shared" si="17"/>
      </c>
      <c r="F125" s="213">
        <f>IF(E125="","",LOOKUP(B125,'Gem types'!B3:C55,'Gem types'!C3:C55))</f>
      </c>
      <c r="G125" s="213"/>
      <c r="H125" s="213"/>
      <c r="I125" s="213"/>
      <c r="J125" s="213"/>
      <c r="K125" s="213"/>
      <c r="L125" s="213"/>
      <c r="M125" s="213"/>
      <c r="N125" s="213"/>
      <c r="O125" s="213">
        <f>IF(E125="","",LOOKUP(B125,'Gem types'!$B$3:$C$55,'Gem types'!$D$3:$D$55))</f>
      </c>
      <c r="P125" s="213"/>
      <c r="Q125" s="213"/>
      <c r="R125" s="213"/>
      <c r="S125" s="213"/>
      <c r="T125" s="213"/>
      <c r="U125" s="213"/>
      <c r="V125" s="213"/>
      <c r="W125" s="213"/>
      <c r="X125" s="213">
        <f>IF(E125="","",LOOKUP(B125,'Gem types'!$B$3:$C$55,'Gem types'!$F$3:$F$55))</f>
      </c>
      <c r="Y125" s="213"/>
      <c r="Z125" s="213"/>
      <c r="AA125" s="213"/>
      <c r="AB125" s="213"/>
      <c r="AC125" s="213"/>
      <c r="AD125" s="213"/>
      <c r="AE125" s="213"/>
      <c r="AF125" s="215">
        <f t="shared" si="13"/>
      </c>
      <c r="AG125" s="213"/>
      <c r="AH125" s="213"/>
      <c r="AI125" s="213"/>
      <c r="AJ125" s="215">
        <f>IF(F125="","",LOOKUP(C125,'Gem types'!$I$3:$I$29,'Gem types'!$K$3:$K$29))</f>
      </c>
      <c r="AK125" s="215"/>
      <c r="AL125" s="215"/>
      <c r="AM125" s="215"/>
      <c r="AN125" s="215">
        <f>IF(F125="","",LOOKUP(C125,'Gem types'!$I$3:$I$29,'Gem types'!$L$3:$L$29))</f>
      </c>
      <c r="AO125" s="215"/>
      <c r="AP125" s="215"/>
      <c r="AQ125" s="215"/>
      <c r="AS125" s="219">
        <f t="shared" si="16"/>
      </c>
      <c r="AT125" s="219"/>
    </row>
    <row r="126" spans="1:46" s="99" customFormat="1" ht="21" customHeight="1">
      <c r="A126" s="127">
        <f>'Treasurer Creator'!AC30</f>
        <v>0</v>
      </c>
      <c r="B126" s="127">
        <f ca="1" t="shared" si="14"/>
        <v>1</v>
      </c>
      <c r="C126" s="128">
        <f ca="1" t="shared" si="15"/>
        <v>15</v>
      </c>
      <c r="D126" s="128">
        <f>SUM(LOOKUP(B126,'Gem types'!$B$3:$B$55,'Gem types'!$G$3:$G$55),PRODUCT(LOOKUP(B126,'Gem types'!$B$3:$B$55,'Gem types'!$G$3:$G$55),LOOKUP(C126,'Gem types'!$I$3:$I$29,'Gem types'!$J$3:$J$29)))</f>
        <v>20</v>
      </c>
      <c r="E126" s="98">
        <f t="shared" si="17"/>
      </c>
      <c r="F126" s="213">
        <f>IF(E126="","",LOOKUP(B126,'Gem types'!B3:C55,'Gem types'!C3:C55))</f>
      </c>
      <c r="G126" s="213"/>
      <c r="H126" s="213"/>
      <c r="I126" s="213"/>
      <c r="J126" s="213"/>
      <c r="K126" s="213"/>
      <c r="L126" s="213"/>
      <c r="M126" s="213"/>
      <c r="N126" s="213"/>
      <c r="O126" s="213">
        <f>IF(E126="","",LOOKUP(B126,'Gem types'!$B$3:$C$55,'Gem types'!$D$3:$D$55))</f>
      </c>
      <c r="P126" s="213"/>
      <c r="Q126" s="213"/>
      <c r="R126" s="213"/>
      <c r="S126" s="213"/>
      <c r="T126" s="213"/>
      <c r="U126" s="213"/>
      <c r="V126" s="213"/>
      <c r="W126" s="213"/>
      <c r="X126" s="213">
        <f>IF(E126="","",LOOKUP(B126,'Gem types'!$B$3:$C$55,'Gem types'!$F$3:$F$55))</f>
      </c>
      <c r="Y126" s="213"/>
      <c r="Z126" s="213"/>
      <c r="AA126" s="213"/>
      <c r="AB126" s="213"/>
      <c r="AC126" s="213"/>
      <c r="AD126" s="213"/>
      <c r="AE126" s="213"/>
      <c r="AF126" s="215">
        <f t="shared" si="13"/>
      </c>
      <c r="AG126" s="213"/>
      <c r="AH126" s="213"/>
      <c r="AI126" s="213"/>
      <c r="AJ126" s="215">
        <f>IF(F126="","",LOOKUP(C126,'Gem types'!$I$3:$I$29,'Gem types'!$K$3:$K$29))</f>
      </c>
      <c r="AK126" s="215"/>
      <c r="AL126" s="215"/>
      <c r="AM126" s="215"/>
      <c r="AN126" s="215">
        <f>IF(F126="","",LOOKUP(C126,'Gem types'!$I$3:$I$29,'Gem types'!$L$3:$L$29))</f>
      </c>
      <c r="AO126" s="215"/>
      <c r="AP126" s="215"/>
      <c r="AQ126" s="215"/>
      <c r="AS126" s="219">
        <f t="shared" si="16"/>
      </c>
      <c r="AT126" s="219"/>
    </row>
    <row r="127" spans="1:46" s="99" customFormat="1" ht="21" customHeight="1">
      <c r="A127" s="127">
        <f>'Treasurer Creator'!AC30</f>
        <v>0</v>
      </c>
      <c r="B127" s="127">
        <f ca="1" t="shared" si="14"/>
        <v>24</v>
      </c>
      <c r="C127" s="128">
        <f ca="1" t="shared" si="15"/>
        <v>21</v>
      </c>
      <c r="D127" s="128">
        <f>SUM(LOOKUP(B127,'Gem types'!$B$3:$B$55,'Gem types'!$G$3:$G$55),PRODUCT(LOOKUP(B127,'Gem types'!$B$3:$B$55,'Gem types'!$G$3:$G$55),LOOKUP(C127,'Gem types'!$I$3:$I$29,'Gem types'!$J$3:$J$29)))</f>
        <v>40</v>
      </c>
      <c r="E127" s="98">
        <f t="shared" si="17"/>
      </c>
      <c r="F127" s="213">
        <f>IF(E127="","",LOOKUP(B127,'Gem types'!B3:C55,'Gem types'!C3:C55))</f>
      </c>
      <c r="G127" s="213"/>
      <c r="H127" s="213"/>
      <c r="I127" s="213"/>
      <c r="J127" s="213"/>
      <c r="K127" s="213"/>
      <c r="L127" s="213"/>
      <c r="M127" s="213"/>
      <c r="N127" s="213"/>
      <c r="O127" s="213">
        <f>IF(E127="","",LOOKUP(B127,'Gem types'!$B$3:$C$55,'Gem types'!$D$3:$D$55))</f>
      </c>
      <c r="P127" s="213"/>
      <c r="Q127" s="213"/>
      <c r="R127" s="213"/>
      <c r="S127" s="213"/>
      <c r="T127" s="213"/>
      <c r="U127" s="213"/>
      <c r="V127" s="213"/>
      <c r="W127" s="213"/>
      <c r="X127" s="213">
        <f>IF(E127="","",LOOKUP(B127,'Gem types'!$B$3:$C$55,'Gem types'!$F$3:$F$55))</f>
      </c>
      <c r="Y127" s="213"/>
      <c r="Z127" s="213"/>
      <c r="AA127" s="213"/>
      <c r="AB127" s="213"/>
      <c r="AC127" s="213"/>
      <c r="AD127" s="213"/>
      <c r="AE127" s="213"/>
      <c r="AF127" s="215">
        <f t="shared" si="13"/>
      </c>
      <c r="AG127" s="213"/>
      <c r="AH127" s="213"/>
      <c r="AI127" s="213"/>
      <c r="AJ127" s="215">
        <f>IF(F127="","",LOOKUP(C127,'Gem types'!$I$3:$I$29,'Gem types'!$K$3:$K$29))</f>
      </c>
      <c r="AK127" s="215"/>
      <c r="AL127" s="215"/>
      <c r="AM127" s="215"/>
      <c r="AN127" s="215">
        <f>IF(F127="","",LOOKUP(C127,'Gem types'!$I$3:$I$29,'Gem types'!$L$3:$L$29))</f>
      </c>
      <c r="AO127" s="215"/>
      <c r="AP127" s="215"/>
      <c r="AQ127" s="215"/>
      <c r="AS127" s="219">
        <f t="shared" si="16"/>
      </c>
      <c r="AT127" s="219"/>
    </row>
    <row r="128" spans="1:46" s="99" customFormat="1" ht="21" customHeight="1">
      <c r="A128" s="127">
        <f>'Treasurer Creator'!AC30</f>
        <v>0</v>
      </c>
      <c r="B128" s="127">
        <f ca="1" t="shared" si="14"/>
        <v>51</v>
      </c>
      <c r="C128" s="128">
        <f ca="1" t="shared" si="15"/>
        <v>18</v>
      </c>
      <c r="D128" s="128">
        <f>SUM(LOOKUP(B128,'Gem types'!$B$3:$B$55,'Gem types'!$G$3:$G$55),PRODUCT(LOOKUP(B128,'Gem types'!$B$3:$B$55,'Gem types'!$G$3:$G$55),LOOKUP(C128,'Gem types'!$I$3:$I$29,'Gem types'!$J$3:$J$29)))</f>
        <v>5000</v>
      </c>
      <c r="E128" s="98">
        <f t="shared" si="17"/>
      </c>
      <c r="F128" s="213">
        <f>IF(E128="","",LOOKUP(B128,'Gem types'!B3:C55,'Gem types'!C3:C55))</f>
      </c>
      <c r="G128" s="213"/>
      <c r="H128" s="213"/>
      <c r="I128" s="213"/>
      <c r="J128" s="213"/>
      <c r="K128" s="213"/>
      <c r="L128" s="213"/>
      <c r="M128" s="213"/>
      <c r="N128" s="213"/>
      <c r="O128" s="213">
        <f>IF(E128="","",LOOKUP(B128,'Gem types'!$B$3:$C$55,'Gem types'!$D$3:$D$55))</f>
      </c>
      <c r="P128" s="213"/>
      <c r="Q128" s="213"/>
      <c r="R128" s="213"/>
      <c r="S128" s="213"/>
      <c r="T128" s="213"/>
      <c r="U128" s="213"/>
      <c r="V128" s="213"/>
      <c r="W128" s="213"/>
      <c r="X128" s="213">
        <f>IF(E128="","",LOOKUP(B128,'Gem types'!$B$3:$C$55,'Gem types'!$F$3:$F$55))</f>
      </c>
      <c r="Y128" s="213"/>
      <c r="Z128" s="213"/>
      <c r="AA128" s="213"/>
      <c r="AB128" s="213"/>
      <c r="AC128" s="213"/>
      <c r="AD128" s="213"/>
      <c r="AE128" s="213"/>
      <c r="AF128" s="215">
        <f t="shared" si="13"/>
      </c>
      <c r="AG128" s="213"/>
      <c r="AH128" s="213"/>
      <c r="AI128" s="213"/>
      <c r="AJ128" s="215">
        <f>IF(F128="","",LOOKUP(C128,'Gem types'!$I$3:$I$29,'Gem types'!$K$3:$K$29))</f>
      </c>
      <c r="AK128" s="215"/>
      <c r="AL128" s="215"/>
      <c r="AM128" s="215"/>
      <c r="AN128" s="215">
        <f>IF(F128="","",LOOKUP(C128,'Gem types'!$I$3:$I$29,'Gem types'!$L$3:$L$29))</f>
      </c>
      <c r="AO128" s="215"/>
      <c r="AP128" s="215"/>
      <c r="AQ128" s="215"/>
      <c r="AS128" s="219">
        <f t="shared" si="16"/>
      </c>
      <c r="AT128" s="219"/>
    </row>
    <row r="129" spans="1:46" s="99" customFormat="1" ht="21" customHeight="1">
      <c r="A129" s="127">
        <f>'Treasurer Creator'!AC30</f>
        <v>0</v>
      </c>
      <c r="B129" s="127">
        <f ca="1" t="shared" si="14"/>
        <v>21</v>
      </c>
      <c r="C129" s="128">
        <f ca="1" t="shared" si="15"/>
        <v>15</v>
      </c>
      <c r="D129" s="128">
        <f>SUM(LOOKUP(B129,'Gem types'!$B$3:$B$55,'Gem types'!$G$3:$G$55),PRODUCT(LOOKUP(B129,'Gem types'!$B$3:$B$55,'Gem types'!$G$3:$G$55),LOOKUP(C129,'Gem types'!$I$3:$I$29,'Gem types'!$J$3:$J$29)))</f>
        <v>100</v>
      </c>
      <c r="E129" s="98">
        <f t="shared" si="17"/>
      </c>
      <c r="F129" s="213">
        <f>IF(E129="","",LOOKUP(B129,'Gem types'!B3:C55,'Gem types'!C3:C55))</f>
      </c>
      <c r="G129" s="213"/>
      <c r="H129" s="213"/>
      <c r="I129" s="213"/>
      <c r="J129" s="213"/>
      <c r="K129" s="213"/>
      <c r="L129" s="213"/>
      <c r="M129" s="213"/>
      <c r="N129" s="213"/>
      <c r="O129" s="213">
        <f>IF(E129="","",LOOKUP(B129,'Gem types'!$B$3:$C$55,'Gem types'!$D$3:$D$55))</f>
      </c>
      <c r="P129" s="213"/>
      <c r="Q129" s="213"/>
      <c r="R129" s="213"/>
      <c r="S129" s="213"/>
      <c r="T129" s="213"/>
      <c r="U129" s="213"/>
      <c r="V129" s="213"/>
      <c r="W129" s="213"/>
      <c r="X129" s="213">
        <f>IF(E129="","",LOOKUP(B129,'Gem types'!$B$3:$C$55,'Gem types'!$F$3:$F$55))</f>
      </c>
      <c r="Y129" s="213"/>
      <c r="Z129" s="213"/>
      <c r="AA129" s="213"/>
      <c r="AB129" s="213"/>
      <c r="AC129" s="213"/>
      <c r="AD129" s="213"/>
      <c r="AE129" s="213"/>
      <c r="AF129" s="215">
        <f t="shared" si="13"/>
      </c>
      <c r="AG129" s="213"/>
      <c r="AH129" s="213"/>
      <c r="AI129" s="213"/>
      <c r="AJ129" s="215">
        <f>IF(F129="","",LOOKUP(C129,'Gem types'!$I$3:$I$29,'Gem types'!$K$3:$K$29))</f>
      </c>
      <c r="AK129" s="215"/>
      <c r="AL129" s="215"/>
      <c r="AM129" s="215"/>
      <c r="AN129" s="215">
        <f>IF(F129="","",LOOKUP(C129,'Gem types'!$I$3:$I$29,'Gem types'!$L$3:$L$29))</f>
      </c>
      <c r="AO129" s="215"/>
      <c r="AP129" s="215"/>
      <c r="AQ129" s="215"/>
      <c r="AS129" s="219">
        <f t="shared" si="16"/>
      </c>
      <c r="AT129" s="219"/>
    </row>
    <row r="130" spans="1:46" s="99" customFormat="1" ht="21" customHeight="1">
      <c r="A130" s="127">
        <f>'Treasurer Creator'!AC30</f>
        <v>0</v>
      </c>
      <c r="B130" s="127">
        <f ca="1" t="shared" si="14"/>
        <v>34</v>
      </c>
      <c r="C130" s="128">
        <f ca="1" t="shared" si="15"/>
        <v>3</v>
      </c>
      <c r="D130" s="128">
        <f>SUM(LOOKUP(B130,'Gem types'!$B$3:$B$55,'Gem types'!$G$3:$G$55),PRODUCT(LOOKUP(B130,'Gem types'!$B$3:$B$55,'Gem types'!$G$3:$G$55),LOOKUP(C130,'Gem types'!$I$3:$I$29,'Gem types'!$J$3:$J$29)))</f>
        <v>600</v>
      </c>
      <c r="E130" s="98">
        <f t="shared" si="17"/>
      </c>
      <c r="F130" s="213">
        <f>IF(E130="","",LOOKUP(B130,'Gem types'!B3:C55,'Gem types'!C3:C55))</f>
      </c>
      <c r="G130" s="213"/>
      <c r="H130" s="213"/>
      <c r="I130" s="213"/>
      <c r="J130" s="213"/>
      <c r="K130" s="213"/>
      <c r="L130" s="213"/>
      <c r="M130" s="213"/>
      <c r="N130" s="213"/>
      <c r="O130" s="213">
        <f>IF(E130="","",LOOKUP(B130,'Gem types'!$B$3:$C$55,'Gem types'!$D$3:$D$55))</f>
      </c>
      <c r="P130" s="213"/>
      <c r="Q130" s="213"/>
      <c r="R130" s="213"/>
      <c r="S130" s="213"/>
      <c r="T130" s="213"/>
      <c r="U130" s="213"/>
      <c r="V130" s="213"/>
      <c r="W130" s="213"/>
      <c r="X130" s="213">
        <f>IF(E130="","",LOOKUP(B130,'Gem types'!$B$3:$C$55,'Gem types'!$F$3:$F$55))</f>
      </c>
      <c r="Y130" s="213"/>
      <c r="Z130" s="213"/>
      <c r="AA130" s="213"/>
      <c r="AB130" s="213"/>
      <c r="AC130" s="213"/>
      <c r="AD130" s="213"/>
      <c r="AE130" s="213"/>
      <c r="AF130" s="215">
        <f t="shared" si="13"/>
      </c>
      <c r="AG130" s="213"/>
      <c r="AH130" s="213"/>
      <c r="AI130" s="213"/>
      <c r="AJ130" s="215">
        <f>IF(F130="","",LOOKUP(C130,'Gem types'!$I$3:$I$29,'Gem types'!$K$3:$K$29))</f>
      </c>
      <c r="AK130" s="215"/>
      <c r="AL130" s="215"/>
      <c r="AM130" s="215"/>
      <c r="AN130" s="215">
        <f>IF(F130="","",LOOKUP(C130,'Gem types'!$I$3:$I$29,'Gem types'!$L$3:$L$29))</f>
      </c>
      <c r="AO130" s="215"/>
      <c r="AP130" s="215"/>
      <c r="AQ130" s="215"/>
      <c r="AS130" s="219">
        <f t="shared" si="16"/>
      </c>
      <c r="AT130" s="219"/>
    </row>
    <row r="131" spans="1:46" s="99" customFormat="1" ht="21" customHeight="1">
      <c r="A131" s="127">
        <f>'Treasurer Creator'!AC30</f>
        <v>0</v>
      </c>
      <c r="B131" s="127">
        <f ca="1" t="shared" si="14"/>
        <v>50</v>
      </c>
      <c r="C131" s="128">
        <f ca="1" t="shared" si="15"/>
        <v>3</v>
      </c>
      <c r="D131" s="128">
        <f>SUM(LOOKUP(B131,'Gem types'!$B$3:$B$55,'Gem types'!$G$3:$G$55),PRODUCT(LOOKUP(B131,'Gem types'!$B$3:$B$55,'Gem types'!$G$3:$G$55),LOOKUP(C131,'Gem types'!$I$3:$I$29,'Gem types'!$J$3:$J$29)))</f>
        <v>30000</v>
      </c>
      <c r="E131" s="98">
        <f t="shared" si="17"/>
      </c>
      <c r="F131" s="213">
        <f>IF(E131="","",LOOKUP(B131,'Gem types'!B3:C55,'Gem types'!C3:C55))</f>
      </c>
      <c r="G131" s="213"/>
      <c r="H131" s="213"/>
      <c r="I131" s="213"/>
      <c r="J131" s="213"/>
      <c r="K131" s="213"/>
      <c r="L131" s="213"/>
      <c r="M131" s="213"/>
      <c r="N131" s="213"/>
      <c r="O131" s="213">
        <f>IF(E131="","",LOOKUP(B131,'Gem types'!$B$3:$C$55,'Gem types'!$D$3:$D$55))</f>
      </c>
      <c r="P131" s="213"/>
      <c r="Q131" s="213"/>
      <c r="R131" s="213"/>
      <c r="S131" s="213"/>
      <c r="T131" s="213"/>
      <c r="U131" s="213"/>
      <c r="V131" s="213"/>
      <c r="W131" s="213"/>
      <c r="X131" s="213">
        <f>IF(E131="","",LOOKUP(B131,'Gem types'!$B$3:$C$55,'Gem types'!$F$3:$F$55))</f>
      </c>
      <c r="Y131" s="213"/>
      <c r="Z131" s="213"/>
      <c r="AA131" s="213"/>
      <c r="AB131" s="213"/>
      <c r="AC131" s="213"/>
      <c r="AD131" s="213"/>
      <c r="AE131" s="213"/>
      <c r="AF131" s="215">
        <f t="shared" si="13"/>
      </c>
      <c r="AG131" s="213"/>
      <c r="AH131" s="213"/>
      <c r="AI131" s="213"/>
      <c r="AJ131" s="215">
        <f>IF(F131="","",LOOKUP(C131,'Gem types'!$I$3:$I$29,'Gem types'!$K$3:$K$29))</f>
      </c>
      <c r="AK131" s="215"/>
      <c r="AL131" s="215"/>
      <c r="AM131" s="215"/>
      <c r="AN131" s="215">
        <f>IF(F131="","",LOOKUP(C131,'Gem types'!$I$3:$I$29,'Gem types'!$L$3:$L$29))</f>
      </c>
      <c r="AO131" s="215"/>
      <c r="AP131" s="215"/>
      <c r="AQ131" s="215"/>
      <c r="AS131" s="219">
        <f t="shared" si="16"/>
      </c>
      <c r="AT131" s="219"/>
    </row>
    <row r="132" spans="1:46" s="99" customFormat="1" ht="21" customHeight="1">
      <c r="A132" s="127">
        <f>'Treasurer Creator'!AC30</f>
        <v>0</v>
      </c>
      <c r="B132" s="127">
        <f aca="true" ca="1" t="shared" si="18" ref="B132:B163">RANDBETWEEN(1,53)</f>
        <v>46</v>
      </c>
      <c r="C132" s="128">
        <f aca="true" ca="1" t="shared" si="19" ref="C132:C163">RANDBETWEEN(1,27)</f>
        <v>11</v>
      </c>
      <c r="D132" s="128">
        <f>SUM(LOOKUP(B132,'Gem types'!$B$3:$B$55,'Gem types'!$G$3:$G$55),PRODUCT(LOOKUP(B132,'Gem types'!$B$3:$B$55,'Gem types'!$G$3:$G$55),LOOKUP(C132,'Gem types'!$I$3:$I$29,'Gem types'!$J$3:$J$29)))</f>
        <v>1300</v>
      </c>
      <c r="E132" s="98">
        <f t="shared" si="17"/>
      </c>
      <c r="F132" s="213">
        <f>IF(E132="","",LOOKUP(B132,'Gem types'!B3:C55,'Gem types'!C3:C55))</f>
      </c>
      <c r="G132" s="213"/>
      <c r="H132" s="213"/>
      <c r="I132" s="213"/>
      <c r="J132" s="213"/>
      <c r="K132" s="213"/>
      <c r="L132" s="213"/>
      <c r="M132" s="213"/>
      <c r="N132" s="213"/>
      <c r="O132" s="213">
        <f>IF(E132="","",LOOKUP(B132,'Gem types'!$B$3:$C$55,'Gem types'!$D$3:$D$55))</f>
      </c>
      <c r="P132" s="213"/>
      <c r="Q132" s="213"/>
      <c r="R132" s="213"/>
      <c r="S132" s="213"/>
      <c r="T132" s="213"/>
      <c r="U132" s="213"/>
      <c r="V132" s="213"/>
      <c r="W132" s="213"/>
      <c r="X132" s="213">
        <f>IF(E132="","",LOOKUP(B132,'Gem types'!$B$3:$C$55,'Gem types'!$F$3:$F$55))</f>
      </c>
      <c r="Y132" s="213"/>
      <c r="Z132" s="213"/>
      <c r="AA132" s="213"/>
      <c r="AB132" s="213"/>
      <c r="AC132" s="213"/>
      <c r="AD132" s="213"/>
      <c r="AE132" s="213"/>
      <c r="AF132" s="215">
        <f t="shared" si="13"/>
      </c>
      <c r="AG132" s="213"/>
      <c r="AH132" s="213"/>
      <c r="AI132" s="213"/>
      <c r="AJ132" s="215">
        <f>IF(F132="","",LOOKUP(C132,'Gem types'!$I$3:$I$29,'Gem types'!$K$3:$K$29))</f>
      </c>
      <c r="AK132" s="215"/>
      <c r="AL132" s="215"/>
      <c r="AM132" s="215"/>
      <c r="AN132" s="215">
        <f>IF(F132="","",LOOKUP(C132,'Gem types'!$I$3:$I$29,'Gem types'!$L$3:$L$29))</f>
      </c>
      <c r="AO132" s="215"/>
      <c r="AP132" s="215"/>
      <c r="AQ132" s="215"/>
      <c r="AS132" s="219">
        <f aca="true" t="shared" si="20" ref="AS132:AS163">IF(E132="","",ROUNDUP(D132,0))</f>
      </c>
      <c r="AT132" s="219"/>
    </row>
    <row r="133" spans="1:46" s="99" customFormat="1" ht="21" customHeight="1">
      <c r="A133" s="127">
        <f>'Treasurer Creator'!AC30</f>
        <v>0</v>
      </c>
      <c r="B133" s="127">
        <f ca="1" t="shared" si="18"/>
        <v>38</v>
      </c>
      <c r="C133" s="128">
        <f ca="1" t="shared" si="19"/>
        <v>11</v>
      </c>
      <c r="D133" s="128">
        <f>SUM(LOOKUP(B133,'Gem types'!$B$3:$B$55,'Gem types'!$G$3:$G$55),PRODUCT(LOOKUP(B133,'Gem types'!$B$3:$B$55,'Gem types'!$G$3:$G$55),LOOKUP(C133,'Gem types'!$I$3:$I$29,'Gem types'!$J$3:$J$29)))</f>
        <v>650</v>
      </c>
      <c r="E133" s="98">
        <f aca="true" t="shared" si="21" ref="E133:E164">IF(A133&gt;E132,SUM(E132+1),"")</f>
      </c>
      <c r="F133" s="213">
        <f>IF(E133="","",LOOKUP(B133,'Gem types'!B3:C55,'Gem types'!C3:C55))</f>
      </c>
      <c r="G133" s="213"/>
      <c r="H133" s="213"/>
      <c r="I133" s="213"/>
      <c r="J133" s="213"/>
      <c r="K133" s="213"/>
      <c r="L133" s="213"/>
      <c r="M133" s="213"/>
      <c r="N133" s="213"/>
      <c r="O133" s="213">
        <f>IF(E133="","",LOOKUP(B133,'Gem types'!$B$3:$C$55,'Gem types'!$D$3:$D$55))</f>
      </c>
      <c r="P133" s="213"/>
      <c r="Q133" s="213"/>
      <c r="R133" s="213"/>
      <c r="S133" s="213"/>
      <c r="T133" s="213"/>
      <c r="U133" s="213"/>
      <c r="V133" s="213"/>
      <c r="W133" s="213"/>
      <c r="X133" s="213">
        <f>IF(E133="","",LOOKUP(B133,'Gem types'!$B$3:$C$55,'Gem types'!$F$3:$F$55))</f>
      </c>
      <c r="Y133" s="213"/>
      <c r="Z133" s="213"/>
      <c r="AA133" s="213"/>
      <c r="AB133" s="213"/>
      <c r="AC133" s="213"/>
      <c r="AD133" s="213"/>
      <c r="AE133" s="213"/>
      <c r="AF133" s="215">
        <f aca="true" t="shared" si="22" ref="AF133:AF196">IF(F133="","",CONCATENATE(AS133," g.p."))</f>
      </c>
      <c r="AG133" s="213"/>
      <c r="AH133" s="213"/>
      <c r="AI133" s="213"/>
      <c r="AJ133" s="215">
        <f>IF(F133="","",LOOKUP(C133,'Gem types'!$I$3:$I$29,'Gem types'!$K$3:$K$29))</f>
      </c>
      <c r="AK133" s="215"/>
      <c r="AL133" s="215"/>
      <c r="AM133" s="215"/>
      <c r="AN133" s="215">
        <f>IF(F133="","",LOOKUP(C133,'Gem types'!$I$3:$I$29,'Gem types'!$L$3:$L$29))</f>
      </c>
      <c r="AO133" s="215"/>
      <c r="AP133" s="215"/>
      <c r="AQ133" s="215"/>
      <c r="AS133" s="219">
        <f t="shared" si="20"/>
      </c>
      <c r="AT133" s="219"/>
    </row>
    <row r="134" spans="1:46" s="99" customFormat="1" ht="21" customHeight="1">
      <c r="A134" s="127">
        <f>'Treasurer Creator'!AC30</f>
        <v>0</v>
      </c>
      <c r="B134" s="127">
        <f ca="1" t="shared" si="18"/>
        <v>12</v>
      </c>
      <c r="C134" s="128">
        <f ca="1" t="shared" si="19"/>
        <v>17</v>
      </c>
      <c r="D134" s="128">
        <f>SUM(LOOKUP(B134,'Gem types'!$B$3:$B$55,'Gem types'!$G$3:$G$55),PRODUCT(LOOKUP(B134,'Gem types'!$B$3:$B$55,'Gem types'!$G$3:$G$55),LOOKUP(C134,'Gem types'!$I$3:$I$29,'Gem types'!$J$3:$J$29)))</f>
        <v>40</v>
      </c>
      <c r="E134" s="98">
        <f t="shared" si="21"/>
      </c>
      <c r="F134" s="213">
        <f>IF(E134="","",LOOKUP(B134,'Gem types'!B3:C55,'Gem types'!C3:C55))</f>
      </c>
      <c r="G134" s="213"/>
      <c r="H134" s="213"/>
      <c r="I134" s="213"/>
      <c r="J134" s="213"/>
      <c r="K134" s="213"/>
      <c r="L134" s="213"/>
      <c r="M134" s="213"/>
      <c r="N134" s="213"/>
      <c r="O134" s="213">
        <f>IF(E134="","",LOOKUP(B134,'Gem types'!$B$3:$C$55,'Gem types'!$D$3:$D$55))</f>
      </c>
      <c r="P134" s="213"/>
      <c r="Q134" s="213"/>
      <c r="R134" s="213"/>
      <c r="S134" s="213"/>
      <c r="T134" s="213"/>
      <c r="U134" s="213"/>
      <c r="V134" s="213"/>
      <c r="W134" s="213"/>
      <c r="X134" s="213">
        <f>IF(E134="","",LOOKUP(B134,'Gem types'!$B$3:$C$55,'Gem types'!$F$3:$F$55))</f>
      </c>
      <c r="Y134" s="213"/>
      <c r="Z134" s="213"/>
      <c r="AA134" s="213"/>
      <c r="AB134" s="213"/>
      <c r="AC134" s="213"/>
      <c r="AD134" s="213"/>
      <c r="AE134" s="213"/>
      <c r="AF134" s="215">
        <f t="shared" si="22"/>
      </c>
      <c r="AG134" s="213"/>
      <c r="AH134" s="213"/>
      <c r="AI134" s="213"/>
      <c r="AJ134" s="215">
        <f>IF(F134="","",LOOKUP(C134,'Gem types'!$I$3:$I$29,'Gem types'!$K$3:$K$29))</f>
      </c>
      <c r="AK134" s="215"/>
      <c r="AL134" s="215"/>
      <c r="AM134" s="215"/>
      <c r="AN134" s="215">
        <f>IF(F134="","",LOOKUP(C134,'Gem types'!$I$3:$I$29,'Gem types'!$L$3:$L$29))</f>
      </c>
      <c r="AO134" s="215"/>
      <c r="AP134" s="215"/>
      <c r="AQ134" s="215"/>
      <c r="AS134" s="219">
        <f t="shared" si="20"/>
      </c>
      <c r="AT134" s="219"/>
    </row>
    <row r="135" spans="1:46" s="99" customFormat="1" ht="21" customHeight="1">
      <c r="A135" s="127">
        <f>'Treasurer Creator'!AC30</f>
        <v>0</v>
      </c>
      <c r="B135" s="127">
        <f ca="1" t="shared" si="18"/>
        <v>9</v>
      </c>
      <c r="C135" s="128">
        <f ca="1" t="shared" si="19"/>
        <v>1</v>
      </c>
      <c r="D135" s="128">
        <f>SUM(LOOKUP(B135,'Gem types'!$B$3:$B$55,'Gem types'!$G$3:$G$55),PRODUCT(LOOKUP(B135,'Gem types'!$B$3:$B$55,'Gem types'!$G$3:$G$55),LOOKUP(C135,'Gem types'!$I$3:$I$29,'Gem types'!$J$3:$J$29)))</f>
        <v>210</v>
      </c>
      <c r="E135" s="98">
        <f t="shared" si="21"/>
      </c>
      <c r="F135" s="213">
        <f>IF(E135="","",LOOKUP(B135,'Gem types'!B3:C55,'Gem types'!C3:C55))</f>
      </c>
      <c r="G135" s="213"/>
      <c r="H135" s="213"/>
      <c r="I135" s="213"/>
      <c r="J135" s="213"/>
      <c r="K135" s="213"/>
      <c r="L135" s="213"/>
      <c r="M135" s="213"/>
      <c r="N135" s="213"/>
      <c r="O135" s="213">
        <f>IF(E135="","",LOOKUP(B135,'Gem types'!$B$3:$C$55,'Gem types'!$D$3:$D$55))</f>
      </c>
      <c r="P135" s="213"/>
      <c r="Q135" s="213"/>
      <c r="R135" s="213"/>
      <c r="S135" s="213"/>
      <c r="T135" s="213"/>
      <c r="U135" s="213"/>
      <c r="V135" s="213"/>
      <c r="W135" s="213"/>
      <c r="X135" s="213">
        <f>IF(E135="","",LOOKUP(B135,'Gem types'!$B$3:$C$55,'Gem types'!$F$3:$F$55))</f>
      </c>
      <c r="Y135" s="213"/>
      <c r="Z135" s="213"/>
      <c r="AA135" s="213"/>
      <c r="AB135" s="213"/>
      <c r="AC135" s="213"/>
      <c r="AD135" s="213"/>
      <c r="AE135" s="213"/>
      <c r="AF135" s="215">
        <f t="shared" si="22"/>
      </c>
      <c r="AG135" s="213"/>
      <c r="AH135" s="213"/>
      <c r="AI135" s="213"/>
      <c r="AJ135" s="215">
        <f>IF(F135="","",LOOKUP(C135,'Gem types'!$I$3:$I$29,'Gem types'!$K$3:$K$29))</f>
      </c>
      <c r="AK135" s="215"/>
      <c r="AL135" s="215"/>
      <c r="AM135" s="215"/>
      <c r="AN135" s="215">
        <f>IF(F135="","",LOOKUP(C135,'Gem types'!$I$3:$I$29,'Gem types'!$L$3:$L$29))</f>
      </c>
      <c r="AO135" s="215"/>
      <c r="AP135" s="215"/>
      <c r="AQ135" s="215"/>
      <c r="AS135" s="219">
        <f t="shared" si="20"/>
      </c>
      <c r="AT135" s="219"/>
    </row>
    <row r="136" spans="1:46" s="99" customFormat="1" ht="21" customHeight="1">
      <c r="A136" s="127">
        <f>'Treasurer Creator'!AC30</f>
        <v>0</v>
      </c>
      <c r="B136" s="127">
        <f ca="1" t="shared" si="18"/>
        <v>41</v>
      </c>
      <c r="C136" s="128">
        <f ca="1" t="shared" si="19"/>
        <v>8</v>
      </c>
      <c r="D136" s="128">
        <f>SUM(LOOKUP(B136,'Gem types'!$B$3:$B$55,'Gem types'!$G$3:$G$55),PRODUCT(LOOKUP(B136,'Gem types'!$B$3:$B$55,'Gem types'!$G$3:$G$55),LOOKUP(C136,'Gem types'!$I$3:$I$29,'Gem types'!$J$3:$J$29)))</f>
        <v>15000</v>
      </c>
      <c r="E136" s="98">
        <f t="shared" si="21"/>
      </c>
      <c r="F136" s="213">
        <f>IF(E136="","",LOOKUP(B136,'Gem types'!B3:C55,'Gem types'!C3:C55))</f>
      </c>
      <c r="G136" s="213"/>
      <c r="H136" s="213"/>
      <c r="I136" s="213"/>
      <c r="J136" s="213"/>
      <c r="K136" s="213"/>
      <c r="L136" s="213"/>
      <c r="M136" s="213"/>
      <c r="N136" s="213"/>
      <c r="O136" s="213">
        <f>IF(E136="","",LOOKUP(B136,'Gem types'!$B$3:$C$55,'Gem types'!$D$3:$D$55))</f>
      </c>
      <c r="P136" s="213"/>
      <c r="Q136" s="213"/>
      <c r="R136" s="213"/>
      <c r="S136" s="213"/>
      <c r="T136" s="213"/>
      <c r="U136" s="213"/>
      <c r="V136" s="213"/>
      <c r="W136" s="213"/>
      <c r="X136" s="213">
        <f>IF(E136="","",LOOKUP(B136,'Gem types'!$B$3:$C$55,'Gem types'!$F$3:$F$55))</f>
      </c>
      <c r="Y136" s="213"/>
      <c r="Z136" s="213"/>
      <c r="AA136" s="213"/>
      <c r="AB136" s="213"/>
      <c r="AC136" s="213"/>
      <c r="AD136" s="213"/>
      <c r="AE136" s="213"/>
      <c r="AF136" s="215">
        <f t="shared" si="22"/>
      </c>
      <c r="AG136" s="213"/>
      <c r="AH136" s="213"/>
      <c r="AI136" s="213"/>
      <c r="AJ136" s="215">
        <f>IF(F136="","",LOOKUP(C136,'Gem types'!$I$3:$I$29,'Gem types'!$K$3:$K$29))</f>
      </c>
      <c r="AK136" s="215"/>
      <c r="AL136" s="215"/>
      <c r="AM136" s="215"/>
      <c r="AN136" s="215">
        <f>IF(F136="","",LOOKUP(C136,'Gem types'!$I$3:$I$29,'Gem types'!$L$3:$L$29))</f>
      </c>
      <c r="AO136" s="215"/>
      <c r="AP136" s="215"/>
      <c r="AQ136" s="215"/>
      <c r="AS136" s="219">
        <f t="shared" si="20"/>
      </c>
      <c r="AT136" s="219"/>
    </row>
    <row r="137" spans="1:46" s="99" customFormat="1" ht="21" customHeight="1">
      <c r="A137" s="127">
        <f>'Treasurer Creator'!AC30</f>
        <v>0</v>
      </c>
      <c r="B137" s="127">
        <f ca="1" t="shared" si="18"/>
        <v>19</v>
      </c>
      <c r="C137" s="128">
        <f ca="1" t="shared" si="19"/>
        <v>22</v>
      </c>
      <c r="D137" s="128">
        <f>SUM(LOOKUP(B137,'Gem types'!$B$3:$B$55,'Gem types'!$G$3:$G$55),PRODUCT(LOOKUP(B137,'Gem types'!$B$3:$B$55,'Gem types'!$G$3:$G$55),LOOKUP(C137,'Gem types'!$I$3:$I$29,'Gem types'!$J$3:$J$29)))</f>
        <v>35</v>
      </c>
      <c r="E137" s="98">
        <f t="shared" si="21"/>
      </c>
      <c r="F137" s="213">
        <f>IF(E137="","",LOOKUP(B137,'Gem types'!B3:C55,'Gem types'!C3:C55))</f>
      </c>
      <c r="G137" s="213"/>
      <c r="H137" s="213"/>
      <c r="I137" s="213"/>
      <c r="J137" s="213"/>
      <c r="K137" s="213"/>
      <c r="L137" s="213"/>
      <c r="M137" s="213"/>
      <c r="N137" s="213"/>
      <c r="O137" s="213">
        <f>IF(E137="","",LOOKUP(B137,'Gem types'!$B$3:$C$55,'Gem types'!$D$3:$D$55))</f>
      </c>
      <c r="P137" s="213"/>
      <c r="Q137" s="213"/>
      <c r="R137" s="213"/>
      <c r="S137" s="213"/>
      <c r="T137" s="213"/>
      <c r="U137" s="213"/>
      <c r="V137" s="213"/>
      <c r="W137" s="213"/>
      <c r="X137" s="213">
        <f>IF(E137="","",LOOKUP(B137,'Gem types'!$B$3:$C$55,'Gem types'!$F$3:$F$55))</f>
      </c>
      <c r="Y137" s="213"/>
      <c r="Z137" s="213"/>
      <c r="AA137" s="213"/>
      <c r="AB137" s="213"/>
      <c r="AC137" s="213"/>
      <c r="AD137" s="213"/>
      <c r="AE137" s="213"/>
      <c r="AF137" s="215">
        <f t="shared" si="22"/>
      </c>
      <c r="AG137" s="213"/>
      <c r="AH137" s="213"/>
      <c r="AI137" s="213"/>
      <c r="AJ137" s="215">
        <f>IF(F137="","",LOOKUP(C137,'Gem types'!$I$3:$I$29,'Gem types'!$K$3:$K$29))</f>
      </c>
      <c r="AK137" s="215"/>
      <c r="AL137" s="215"/>
      <c r="AM137" s="215"/>
      <c r="AN137" s="215">
        <f>IF(F137="","",LOOKUP(C137,'Gem types'!$I$3:$I$29,'Gem types'!$L$3:$L$29))</f>
      </c>
      <c r="AO137" s="215"/>
      <c r="AP137" s="215"/>
      <c r="AQ137" s="215"/>
      <c r="AS137" s="219">
        <f t="shared" si="20"/>
      </c>
      <c r="AT137" s="219"/>
    </row>
    <row r="138" spans="1:46" s="99" customFormat="1" ht="21" customHeight="1">
      <c r="A138" s="127">
        <f>'Treasurer Creator'!AC30</f>
        <v>0</v>
      </c>
      <c r="B138" s="127">
        <f ca="1" t="shared" si="18"/>
        <v>28</v>
      </c>
      <c r="C138" s="128">
        <f ca="1" t="shared" si="19"/>
        <v>19</v>
      </c>
      <c r="D138" s="128">
        <f>SUM(LOOKUP(B138,'Gem types'!$B$3:$B$55,'Gem types'!$G$3:$G$55),PRODUCT(LOOKUP(B138,'Gem types'!$B$3:$B$55,'Gem types'!$G$3:$G$55),LOOKUP(C138,'Gem types'!$I$3:$I$29,'Gem types'!$J$3:$J$29)))</f>
        <v>3000</v>
      </c>
      <c r="E138" s="98">
        <f t="shared" si="21"/>
      </c>
      <c r="F138" s="213">
        <f>IF(E138="","",LOOKUP(B138,'Gem types'!B3:C55,'Gem types'!C3:C55))</f>
      </c>
      <c r="G138" s="213"/>
      <c r="H138" s="213"/>
      <c r="I138" s="213"/>
      <c r="J138" s="213"/>
      <c r="K138" s="213"/>
      <c r="L138" s="213"/>
      <c r="M138" s="213"/>
      <c r="N138" s="213"/>
      <c r="O138" s="213">
        <f>IF(E138="","",LOOKUP(B138,'Gem types'!$B$3:$C$55,'Gem types'!$D$3:$D$55))</f>
      </c>
      <c r="P138" s="213"/>
      <c r="Q138" s="213"/>
      <c r="R138" s="213"/>
      <c r="S138" s="213"/>
      <c r="T138" s="213"/>
      <c r="U138" s="213"/>
      <c r="V138" s="213"/>
      <c r="W138" s="213"/>
      <c r="X138" s="213">
        <f>IF(E138="","",LOOKUP(B138,'Gem types'!$B$3:$C$55,'Gem types'!$F$3:$F$55))</f>
      </c>
      <c r="Y138" s="213"/>
      <c r="Z138" s="213"/>
      <c r="AA138" s="213"/>
      <c r="AB138" s="213"/>
      <c r="AC138" s="213"/>
      <c r="AD138" s="213"/>
      <c r="AE138" s="213"/>
      <c r="AF138" s="215">
        <f t="shared" si="22"/>
      </c>
      <c r="AG138" s="213"/>
      <c r="AH138" s="213"/>
      <c r="AI138" s="213"/>
      <c r="AJ138" s="215">
        <f>IF(F138="","",LOOKUP(C138,'Gem types'!$I$3:$I$29,'Gem types'!$K$3:$K$29))</f>
      </c>
      <c r="AK138" s="215"/>
      <c r="AL138" s="215"/>
      <c r="AM138" s="215"/>
      <c r="AN138" s="215">
        <f>IF(F138="","",LOOKUP(C138,'Gem types'!$I$3:$I$29,'Gem types'!$L$3:$L$29))</f>
      </c>
      <c r="AO138" s="215"/>
      <c r="AP138" s="215"/>
      <c r="AQ138" s="215"/>
      <c r="AS138" s="219">
        <f t="shared" si="20"/>
      </c>
      <c r="AT138" s="219"/>
    </row>
    <row r="139" spans="1:46" s="99" customFormat="1" ht="21" customHeight="1">
      <c r="A139" s="127">
        <f>'Treasurer Creator'!AC30</f>
        <v>0</v>
      </c>
      <c r="B139" s="127">
        <f ca="1" t="shared" si="18"/>
        <v>53</v>
      </c>
      <c r="C139" s="128">
        <f ca="1" t="shared" si="19"/>
        <v>21</v>
      </c>
      <c r="D139" s="128">
        <f>SUM(LOOKUP(B139,'Gem types'!$B$3:$B$55,'Gem types'!$G$3:$G$55),PRODUCT(LOOKUP(B139,'Gem types'!$B$3:$B$55,'Gem types'!$G$3:$G$55),LOOKUP(C139,'Gem types'!$I$3:$I$29,'Gem types'!$J$3:$J$29)))</f>
        <v>800</v>
      </c>
      <c r="E139" s="98">
        <f t="shared" si="21"/>
      </c>
      <c r="F139" s="213">
        <f>IF(E139="","",LOOKUP(B139,'Gem types'!B3:C55,'Gem types'!C3:C55))</f>
      </c>
      <c r="G139" s="213"/>
      <c r="H139" s="213"/>
      <c r="I139" s="213"/>
      <c r="J139" s="213"/>
      <c r="K139" s="213"/>
      <c r="L139" s="213"/>
      <c r="M139" s="213"/>
      <c r="N139" s="213"/>
      <c r="O139" s="213">
        <f>IF(E139="","",LOOKUP(B139,'Gem types'!$B$3:$C$55,'Gem types'!$D$3:$D$55))</f>
      </c>
      <c r="P139" s="213"/>
      <c r="Q139" s="213"/>
      <c r="R139" s="213"/>
      <c r="S139" s="213"/>
      <c r="T139" s="213"/>
      <c r="U139" s="213"/>
      <c r="V139" s="213"/>
      <c r="W139" s="213"/>
      <c r="X139" s="213">
        <f>IF(E139="","",LOOKUP(B139,'Gem types'!$B$3:$C$55,'Gem types'!$F$3:$F$55))</f>
      </c>
      <c r="Y139" s="213"/>
      <c r="Z139" s="213"/>
      <c r="AA139" s="213"/>
      <c r="AB139" s="213"/>
      <c r="AC139" s="213"/>
      <c r="AD139" s="213"/>
      <c r="AE139" s="213"/>
      <c r="AF139" s="215">
        <f t="shared" si="22"/>
      </c>
      <c r="AG139" s="213"/>
      <c r="AH139" s="213"/>
      <c r="AI139" s="213"/>
      <c r="AJ139" s="215">
        <f>IF(F139="","",LOOKUP(C139,'Gem types'!$I$3:$I$29,'Gem types'!$K$3:$K$29))</f>
      </c>
      <c r="AK139" s="215"/>
      <c r="AL139" s="215"/>
      <c r="AM139" s="215"/>
      <c r="AN139" s="215">
        <f>IF(F139="","",LOOKUP(C139,'Gem types'!$I$3:$I$29,'Gem types'!$L$3:$L$29))</f>
      </c>
      <c r="AO139" s="215"/>
      <c r="AP139" s="215"/>
      <c r="AQ139" s="215"/>
      <c r="AS139" s="219">
        <f t="shared" si="20"/>
      </c>
      <c r="AT139" s="219"/>
    </row>
    <row r="140" spans="1:46" s="99" customFormat="1" ht="21" customHeight="1">
      <c r="A140" s="127">
        <f>'Treasurer Creator'!AC30</f>
        <v>0</v>
      </c>
      <c r="B140" s="127">
        <f ca="1" t="shared" si="18"/>
        <v>9</v>
      </c>
      <c r="C140" s="128">
        <f ca="1" t="shared" si="19"/>
        <v>27</v>
      </c>
      <c r="D140" s="128">
        <f>SUM(LOOKUP(B140,'Gem types'!$B$3:$B$55,'Gem types'!$G$3:$G$55),PRODUCT(LOOKUP(B140,'Gem types'!$B$3:$B$55,'Gem types'!$G$3:$G$55),LOOKUP(C140,'Gem types'!$I$3:$I$29,'Gem types'!$J$3:$J$29)))</f>
        <v>2</v>
      </c>
      <c r="E140" s="98">
        <f t="shared" si="21"/>
      </c>
      <c r="F140" s="213">
        <f>IF(E140="","",LOOKUP(B140,'Gem types'!B3:C55,'Gem types'!C3:C55))</f>
      </c>
      <c r="G140" s="213"/>
      <c r="H140" s="213"/>
      <c r="I140" s="213"/>
      <c r="J140" s="213"/>
      <c r="K140" s="213"/>
      <c r="L140" s="213"/>
      <c r="M140" s="213"/>
      <c r="N140" s="213"/>
      <c r="O140" s="213">
        <f>IF(E140="","",LOOKUP(B140,'Gem types'!$B$3:$C$55,'Gem types'!$D$3:$D$55))</f>
      </c>
      <c r="P140" s="213"/>
      <c r="Q140" s="213"/>
      <c r="R140" s="213"/>
      <c r="S140" s="213"/>
      <c r="T140" s="213"/>
      <c r="U140" s="213"/>
      <c r="V140" s="213"/>
      <c r="W140" s="213"/>
      <c r="X140" s="213">
        <f>IF(E140="","",LOOKUP(B140,'Gem types'!$B$3:$C$55,'Gem types'!$F$3:$F$55))</f>
      </c>
      <c r="Y140" s="213"/>
      <c r="Z140" s="213"/>
      <c r="AA140" s="213"/>
      <c r="AB140" s="213"/>
      <c r="AC140" s="213"/>
      <c r="AD140" s="213"/>
      <c r="AE140" s="213"/>
      <c r="AF140" s="215">
        <f t="shared" si="22"/>
      </c>
      <c r="AG140" s="213"/>
      <c r="AH140" s="213"/>
      <c r="AI140" s="213"/>
      <c r="AJ140" s="215">
        <f>IF(F140="","",LOOKUP(C140,'Gem types'!$I$3:$I$29,'Gem types'!$K$3:$K$29))</f>
      </c>
      <c r="AK140" s="215"/>
      <c r="AL140" s="215"/>
      <c r="AM140" s="215"/>
      <c r="AN140" s="215">
        <f>IF(F140="","",LOOKUP(C140,'Gem types'!$I$3:$I$29,'Gem types'!$L$3:$L$29))</f>
      </c>
      <c r="AO140" s="215"/>
      <c r="AP140" s="215"/>
      <c r="AQ140" s="215"/>
      <c r="AS140" s="219">
        <f t="shared" si="20"/>
      </c>
      <c r="AT140" s="219"/>
    </row>
    <row r="141" spans="1:46" s="99" customFormat="1" ht="21" customHeight="1">
      <c r="A141" s="127">
        <f>'Treasurer Creator'!AC30</f>
        <v>0</v>
      </c>
      <c r="B141" s="127">
        <f ca="1" t="shared" si="18"/>
        <v>30</v>
      </c>
      <c r="C141" s="128">
        <f ca="1" t="shared" si="19"/>
        <v>23</v>
      </c>
      <c r="D141" s="128">
        <f>SUM(LOOKUP(B141,'Gem types'!$B$3:$B$55,'Gem types'!$G$3:$G$55),PRODUCT(LOOKUP(B141,'Gem types'!$B$3:$B$55,'Gem types'!$G$3:$G$55),LOOKUP(C141,'Gem types'!$I$3:$I$29,'Gem types'!$J$3:$J$29)))</f>
        <v>60</v>
      </c>
      <c r="E141" s="98">
        <f t="shared" si="21"/>
      </c>
      <c r="F141" s="213">
        <f>IF(E141="","",LOOKUP(B141,'Gem types'!B3:C55,'Gem types'!C3:C55))</f>
      </c>
      <c r="G141" s="213"/>
      <c r="H141" s="213"/>
      <c r="I141" s="213"/>
      <c r="J141" s="213"/>
      <c r="K141" s="213"/>
      <c r="L141" s="213"/>
      <c r="M141" s="213"/>
      <c r="N141" s="213"/>
      <c r="O141" s="213">
        <f>IF(E141="","",LOOKUP(B141,'Gem types'!$B$3:$C$55,'Gem types'!$D$3:$D$55))</f>
      </c>
      <c r="P141" s="213"/>
      <c r="Q141" s="213"/>
      <c r="R141" s="213"/>
      <c r="S141" s="213"/>
      <c r="T141" s="213"/>
      <c r="U141" s="213"/>
      <c r="V141" s="213"/>
      <c r="W141" s="213"/>
      <c r="X141" s="213">
        <f>IF(E141="","",LOOKUP(B141,'Gem types'!$B$3:$C$55,'Gem types'!$F$3:$F$55))</f>
      </c>
      <c r="Y141" s="213"/>
      <c r="Z141" s="213"/>
      <c r="AA141" s="213"/>
      <c r="AB141" s="213"/>
      <c r="AC141" s="213"/>
      <c r="AD141" s="213"/>
      <c r="AE141" s="213"/>
      <c r="AF141" s="215">
        <f t="shared" si="22"/>
      </c>
      <c r="AG141" s="213"/>
      <c r="AH141" s="213"/>
      <c r="AI141" s="213"/>
      <c r="AJ141" s="215">
        <f>IF(F141="","",LOOKUP(C141,'Gem types'!$I$3:$I$29,'Gem types'!$K$3:$K$29))</f>
      </c>
      <c r="AK141" s="215"/>
      <c r="AL141" s="215"/>
      <c r="AM141" s="215"/>
      <c r="AN141" s="215">
        <f>IF(F141="","",LOOKUP(C141,'Gem types'!$I$3:$I$29,'Gem types'!$L$3:$L$29))</f>
      </c>
      <c r="AO141" s="215"/>
      <c r="AP141" s="215"/>
      <c r="AQ141" s="215"/>
      <c r="AS141" s="219">
        <f t="shared" si="20"/>
      </c>
      <c r="AT141" s="219"/>
    </row>
    <row r="142" spans="1:46" s="99" customFormat="1" ht="21" customHeight="1">
      <c r="A142" s="127">
        <f>'Treasurer Creator'!AC30</f>
        <v>0</v>
      </c>
      <c r="B142" s="127">
        <f ca="1" t="shared" si="18"/>
        <v>21</v>
      </c>
      <c r="C142" s="128">
        <f ca="1" t="shared" si="19"/>
        <v>4</v>
      </c>
      <c r="D142" s="128">
        <f>SUM(LOOKUP(B142,'Gem types'!$B$3:$B$55,'Gem types'!$G$3:$G$55),PRODUCT(LOOKUP(B142,'Gem types'!$B$3:$B$55,'Gem types'!$G$3:$G$55),LOOKUP(C142,'Gem types'!$I$3:$I$29,'Gem types'!$J$3:$J$29)))</f>
        <v>150</v>
      </c>
      <c r="E142" s="98">
        <f t="shared" si="21"/>
      </c>
      <c r="F142" s="213">
        <f>IF(E142="","",LOOKUP(B142,'Gem types'!B3:C55,'Gem types'!C3:C55))</f>
      </c>
      <c r="G142" s="213"/>
      <c r="H142" s="213"/>
      <c r="I142" s="213"/>
      <c r="J142" s="213"/>
      <c r="K142" s="213"/>
      <c r="L142" s="213"/>
      <c r="M142" s="213"/>
      <c r="N142" s="213"/>
      <c r="O142" s="213">
        <f>IF(E142="","",LOOKUP(B142,'Gem types'!$B$3:$C$55,'Gem types'!$D$3:$D$55))</f>
      </c>
      <c r="P142" s="213"/>
      <c r="Q142" s="213"/>
      <c r="R142" s="213"/>
      <c r="S142" s="213"/>
      <c r="T142" s="213"/>
      <c r="U142" s="213"/>
      <c r="V142" s="213"/>
      <c r="W142" s="213"/>
      <c r="X142" s="213">
        <f>IF(E142="","",LOOKUP(B142,'Gem types'!$B$3:$C$55,'Gem types'!$F$3:$F$55))</f>
      </c>
      <c r="Y142" s="213"/>
      <c r="Z142" s="213"/>
      <c r="AA142" s="213"/>
      <c r="AB142" s="213"/>
      <c r="AC142" s="213"/>
      <c r="AD142" s="213"/>
      <c r="AE142" s="213"/>
      <c r="AF142" s="215">
        <f t="shared" si="22"/>
      </c>
      <c r="AG142" s="213"/>
      <c r="AH142" s="213"/>
      <c r="AI142" s="213"/>
      <c r="AJ142" s="215">
        <f>IF(F142="","",LOOKUP(C142,'Gem types'!$I$3:$I$29,'Gem types'!$K$3:$K$29))</f>
      </c>
      <c r="AK142" s="215"/>
      <c r="AL142" s="215"/>
      <c r="AM142" s="215"/>
      <c r="AN142" s="215">
        <f>IF(F142="","",LOOKUP(C142,'Gem types'!$I$3:$I$29,'Gem types'!$L$3:$L$29))</f>
      </c>
      <c r="AO142" s="215"/>
      <c r="AP142" s="215"/>
      <c r="AQ142" s="215"/>
      <c r="AS142" s="219">
        <f t="shared" si="20"/>
      </c>
      <c r="AT142" s="219"/>
    </row>
    <row r="143" spans="1:46" s="99" customFormat="1" ht="21" customHeight="1">
      <c r="A143" s="127">
        <f>'Treasurer Creator'!AC30</f>
        <v>0</v>
      </c>
      <c r="B143" s="127">
        <f ca="1" t="shared" si="18"/>
        <v>19</v>
      </c>
      <c r="C143" s="128">
        <f ca="1" t="shared" si="19"/>
        <v>19</v>
      </c>
      <c r="D143" s="128">
        <f>SUM(LOOKUP(B143,'Gem types'!$B$3:$B$55,'Gem types'!$G$3:$G$55),PRODUCT(LOOKUP(B143,'Gem types'!$B$3:$B$55,'Gem types'!$G$3:$G$55),LOOKUP(C143,'Gem types'!$I$3:$I$29,'Gem types'!$J$3:$J$29)))</f>
        <v>300</v>
      </c>
      <c r="E143" s="98">
        <f t="shared" si="21"/>
      </c>
      <c r="F143" s="213">
        <f>IF(E143="","",LOOKUP(B143,'Gem types'!B3:C55,'Gem types'!C3:C55))</f>
      </c>
      <c r="G143" s="213"/>
      <c r="H143" s="213"/>
      <c r="I143" s="213"/>
      <c r="J143" s="213"/>
      <c r="K143" s="213"/>
      <c r="L143" s="213"/>
      <c r="M143" s="213"/>
      <c r="N143" s="213"/>
      <c r="O143" s="213">
        <f>IF(E143="","",LOOKUP(B143,'Gem types'!$B$3:$C$55,'Gem types'!$D$3:$D$55))</f>
      </c>
      <c r="P143" s="213"/>
      <c r="Q143" s="213"/>
      <c r="R143" s="213"/>
      <c r="S143" s="213"/>
      <c r="T143" s="213"/>
      <c r="U143" s="213"/>
      <c r="V143" s="213"/>
      <c r="W143" s="213"/>
      <c r="X143" s="213">
        <f>IF(E143="","",LOOKUP(B143,'Gem types'!$B$3:$C$55,'Gem types'!$F$3:$F$55))</f>
      </c>
      <c r="Y143" s="213"/>
      <c r="Z143" s="213"/>
      <c r="AA143" s="213"/>
      <c r="AB143" s="213"/>
      <c r="AC143" s="213"/>
      <c r="AD143" s="213"/>
      <c r="AE143" s="213"/>
      <c r="AF143" s="215">
        <f t="shared" si="22"/>
      </c>
      <c r="AG143" s="213"/>
      <c r="AH143" s="213"/>
      <c r="AI143" s="213"/>
      <c r="AJ143" s="215">
        <f>IF(F143="","",LOOKUP(C143,'Gem types'!$I$3:$I$29,'Gem types'!$K$3:$K$29))</f>
      </c>
      <c r="AK143" s="215"/>
      <c r="AL143" s="215"/>
      <c r="AM143" s="215"/>
      <c r="AN143" s="215">
        <f>IF(F143="","",LOOKUP(C143,'Gem types'!$I$3:$I$29,'Gem types'!$L$3:$L$29))</f>
      </c>
      <c r="AO143" s="215"/>
      <c r="AP143" s="215"/>
      <c r="AQ143" s="215"/>
      <c r="AS143" s="219">
        <f t="shared" si="20"/>
      </c>
      <c r="AT143" s="219"/>
    </row>
    <row r="144" spans="1:46" s="99" customFormat="1" ht="21" customHeight="1">
      <c r="A144" s="127">
        <f>'Treasurer Creator'!AC30</f>
        <v>0</v>
      </c>
      <c r="B144" s="127">
        <f ca="1" t="shared" si="18"/>
        <v>47</v>
      </c>
      <c r="C144" s="128">
        <f ca="1" t="shared" si="19"/>
        <v>27</v>
      </c>
      <c r="D144" s="128">
        <f>SUM(LOOKUP(B144,'Gem types'!$B$3:$B$55,'Gem types'!$G$3:$G$55),PRODUCT(LOOKUP(B144,'Gem types'!$B$3:$B$55,'Gem types'!$G$3:$G$55),LOOKUP(C144,'Gem types'!$I$3:$I$29,'Gem types'!$J$3:$J$29)))</f>
        <v>200</v>
      </c>
      <c r="E144" s="98">
        <f t="shared" si="21"/>
      </c>
      <c r="F144" s="213">
        <f>IF(E144="","",LOOKUP(B144,'Gem types'!B3:C55,'Gem types'!C3:C55))</f>
      </c>
      <c r="G144" s="213"/>
      <c r="H144" s="213"/>
      <c r="I144" s="213"/>
      <c r="J144" s="213"/>
      <c r="K144" s="213"/>
      <c r="L144" s="213"/>
      <c r="M144" s="213"/>
      <c r="N144" s="213"/>
      <c r="O144" s="213">
        <f>IF(E144="","",LOOKUP(B144,'Gem types'!$B$3:$C$55,'Gem types'!$D$3:$D$55))</f>
      </c>
      <c r="P144" s="213"/>
      <c r="Q144" s="213"/>
      <c r="R144" s="213"/>
      <c r="S144" s="213"/>
      <c r="T144" s="213"/>
      <c r="U144" s="213"/>
      <c r="V144" s="213"/>
      <c r="W144" s="213"/>
      <c r="X144" s="213">
        <f>IF(E144="","",LOOKUP(B144,'Gem types'!$B$3:$C$55,'Gem types'!$F$3:$F$55))</f>
      </c>
      <c r="Y144" s="213"/>
      <c r="Z144" s="213"/>
      <c r="AA144" s="213"/>
      <c r="AB144" s="213"/>
      <c r="AC144" s="213"/>
      <c r="AD144" s="213"/>
      <c r="AE144" s="213"/>
      <c r="AF144" s="215">
        <f t="shared" si="22"/>
      </c>
      <c r="AG144" s="213"/>
      <c r="AH144" s="213"/>
      <c r="AI144" s="213"/>
      <c r="AJ144" s="215">
        <f>IF(F144="","",LOOKUP(C144,'Gem types'!$I$3:$I$29,'Gem types'!$K$3:$K$29))</f>
      </c>
      <c r="AK144" s="215"/>
      <c r="AL144" s="215"/>
      <c r="AM144" s="215"/>
      <c r="AN144" s="215">
        <f>IF(F144="","",LOOKUP(C144,'Gem types'!$I$3:$I$29,'Gem types'!$L$3:$L$29))</f>
      </c>
      <c r="AO144" s="215"/>
      <c r="AP144" s="215"/>
      <c r="AQ144" s="215"/>
      <c r="AS144" s="219">
        <f t="shared" si="20"/>
      </c>
      <c r="AT144" s="219"/>
    </row>
    <row r="145" spans="1:46" s="99" customFormat="1" ht="21" customHeight="1">
      <c r="A145" s="127">
        <f>'Treasurer Creator'!AC30</f>
        <v>0</v>
      </c>
      <c r="B145" s="127">
        <f ca="1" t="shared" si="18"/>
        <v>15</v>
      </c>
      <c r="C145" s="128">
        <f ca="1" t="shared" si="19"/>
        <v>23</v>
      </c>
      <c r="D145" s="128">
        <f>SUM(LOOKUP(B145,'Gem types'!$B$3:$B$55,'Gem types'!$G$3:$G$55),PRODUCT(LOOKUP(B145,'Gem types'!$B$3:$B$55,'Gem types'!$G$3:$G$55),LOOKUP(C145,'Gem types'!$I$3:$I$29,'Gem types'!$J$3:$J$29)))</f>
        <v>30</v>
      </c>
      <c r="E145" s="98">
        <f t="shared" si="21"/>
      </c>
      <c r="F145" s="213">
        <f>IF(E145="","",LOOKUP(B145,'Gem types'!B3:C55,'Gem types'!C3:C55))</f>
      </c>
      <c r="G145" s="213"/>
      <c r="H145" s="213"/>
      <c r="I145" s="213"/>
      <c r="J145" s="213"/>
      <c r="K145" s="213"/>
      <c r="L145" s="213"/>
      <c r="M145" s="213"/>
      <c r="N145" s="213"/>
      <c r="O145" s="213">
        <f>IF(E145="","",LOOKUP(B145,'Gem types'!$B$3:$C$55,'Gem types'!$D$3:$D$55))</f>
      </c>
      <c r="P145" s="213"/>
      <c r="Q145" s="213"/>
      <c r="R145" s="213"/>
      <c r="S145" s="213"/>
      <c r="T145" s="213"/>
      <c r="U145" s="213"/>
      <c r="V145" s="213"/>
      <c r="W145" s="213"/>
      <c r="X145" s="213">
        <f>IF(E145="","",LOOKUP(B145,'Gem types'!$B$3:$C$55,'Gem types'!$F$3:$F$55))</f>
      </c>
      <c r="Y145" s="213"/>
      <c r="Z145" s="213"/>
      <c r="AA145" s="213"/>
      <c r="AB145" s="213"/>
      <c r="AC145" s="213"/>
      <c r="AD145" s="213"/>
      <c r="AE145" s="213"/>
      <c r="AF145" s="215">
        <f t="shared" si="22"/>
      </c>
      <c r="AG145" s="213"/>
      <c r="AH145" s="213"/>
      <c r="AI145" s="213"/>
      <c r="AJ145" s="215">
        <f>IF(F145="","",LOOKUP(C145,'Gem types'!$I$3:$I$29,'Gem types'!$K$3:$K$29))</f>
      </c>
      <c r="AK145" s="215"/>
      <c r="AL145" s="215"/>
      <c r="AM145" s="215"/>
      <c r="AN145" s="215">
        <f>IF(F145="","",LOOKUP(C145,'Gem types'!$I$3:$I$29,'Gem types'!$L$3:$L$29))</f>
      </c>
      <c r="AO145" s="215"/>
      <c r="AP145" s="215"/>
      <c r="AQ145" s="215"/>
      <c r="AS145" s="219">
        <f t="shared" si="20"/>
      </c>
      <c r="AT145" s="219"/>
    </row>
    <row r="146" spans="1:46" s="99" customFormat="1" ht="21" customHeight="1">
      <c r="A146" s="127">
        <f>'Treasurer Creator'!AC30</f>
        <v>0</v>
      </c>
      <c r="B146" s="127">
        <f ca="1" t="shared" si="18"/>
        <v>23</v>
      </c>
      <c r="C146" s="128">
        <f ca="1" t="shared" si="19"/>
        <v>8</v>
      </c>
      <c r="D146" s="128">
        <f>SUM(LOOKUP(B146,'Gem types'!$B$3:$B$55,'Gem types'!$G$3:$G$55),PRODUCT(LOOKUP(B146,'Gem types'!$B$3:$B$55,'Gem types'!$G$3:$G$55),LOOKUP(C146,'Gem types'!$I$3:$I$29,'Gem types'!$J$3:$J$29)))</f>
        <v>150</v>
      </c>
      <c r="E146" s="98">
        <f t="shared" si="21"/>
      </c>
      <c r="F146" s="213">
        <f>IF(E146="","",LOOKUP(B146,'Gem types'!B3:C55,'Gem types'!C3:C55))</f>
      </c>
      <c r="G146" s="213"/>
      <c r="H146" s="213"/>
      <c r="I146" s="213"/>
      <c r="J146" s="213"/>
      <c r="K146" s="213"/>
      <c r="L146" s="213"/>
      <c r="M146" s="213"/>
      <c r="N146" s="213"/>
      <c r="O146" s="213">
        <f>IF(E146="","",LOOKUP(B146,'Gem types'!$B$3:$C$55,'Gem types'!$D$3:$D$55))</f>
      </c>
      <c r="P146" s="213"/>
      <c r="Q146" s="213"/>
      <c r="R146" s="213"/>
      <c r="S146" s="213"/>
      <c r="T146" s="213"/>
      <c r="U146" s="213"/>
      <c r="V146" s="213"/>
      <c r="W146" s="213"/>
      <c r="X146" s="213">
        <f>IF(E146="","",LOOKUP(B146,'Gem types'!$B$3:$C$55,'Gem types'!$F$3:$F$55))</f>
      </c>
      <c r="Y146" s="213"/>
      <c r="Z146" s="213"/>
      <c r="AA146" s="213"/>
      <c r="AB146" s="213"/>
      <c r="AC146" s="213"/>
      <c r="AD146" s="213"/>
      <c r="AE146" s="213"/>
      <c r="AF146" s="215">
        <f t="shared" si="22"/>
      </c>
      <c r="AG146" s="213"/>
      <c r="AH146" s="213"/>
      <c r="AI146" s="213"/>
      <c r="AJ146" s="215">
        <f>IF(F146="","",LOOKUP(C146,'Gem types'!$I$3:$I$29,'Gem types'!$K$3:$K$29))</f>
      </c>
      <c r="AK146" s="215"/>
      <c r="AL146" s="215"/>
      <c r="AM146" s="215"/>
      <c r="AN146" s="215">
        <f>IF(F146="","",LOOKUP(C146,'Gem types'!$I$3:$I$29,'Gem types'!$L$3:$L$29))</f>
      </c>
      <c r="AO146" s="215"/>
      <c r="AP146" s="215"/>
      <c r="AQ146" s="215"/>
      <c r="AS146" s="219">
        <f t="shared" si="20"/>
      </c>
      <c r="AT146" s="219"/>
    </row>
    <row r="147" spans="1:46" s="99" customFormat="1" ht="21" customHeight="1">
      <c r="A147" s="127">
        <f>'Treasurer Creator'!AC30</f>
        <v>0</v>
      </c>
      <c r="B147" s="127">
        <f ca="1" t="shared" si="18"/>
        <v>21</v>
      </c>
      <c r="C147" s="128">
        <f ca="1" t="shared" si="19"/>
        <v>6</v>
      </c>
      <c r="D147" s="128">
        <f>SUM(LOOKUP(B147,'Gem types'!$B$3:$B$55,'Gem types'!$G$3:$G$55),PRODUCT(LOOKUP(B147,'Gem types'!$B$3:$B$55,'Gem types'!$G$3:$G$55),LOOKUP(C147,'Gem types'!$I$3:$I$29,'Gem types'!$J$3:$J$29)))</f>
        <v>300</v>
      </c>
      <c r="E147" s="98">
        <f t="shared" si="21"/>
      </c>
      <c r="F147" s="213">
        <f>IF(E147="","",LOOKUP(B147,'Gem types'!B3:C55,'Gem types'!C3:C55))</f>
      </c>
      <c r="G147" s="213"/>
      <c r="H147" s="213"/>
      <c r="I147" s="213"/>
      <c r="J147" s="213"/>
      <c r="K147" s="213"/>
      <c r="L147" s="213"/>
      <c r="M147" s="213"/>
      <c r="N147" s="213"/>
      <c r="O147" s="213">
        <f>IF(E147="","",LOOKUP(B147,'Gem types'!$B$3:$C$55,'Gem types'!$D$3:$D$55))</f>
      </c>
      <c r="P147" s="213"/>
      <c r="Q147" s="213"/>
      <c r="R147" s="213"/>
      <c r="S147" s="213"/>
      <c r="T147" s="213"/>
      <c r="U147" s="213"/>
      <c r="V147" s="213"/>
      <c r="W147" s="213"/>
      <c r="X147" s="213">
        <f>IF(E147="","",LOOKUP(B147,'Gem types'!$B$3:$C$55,'Gem types'!$F$3:$F$55))</f>
      </c>
      <c r="Y147" s="213"/>
      <c r="Z147" s="213"/>
      <c r="AA147" s="213"/>
      <c r="AB147" s="213"/>
      <c r="AC147" s="213"/>
      <c r="AD147" s="213"/>
      <c r="AE147" s="213"/>
      <c r="AF147" s="215">
        <f t="shared" si="22"/>
      </c>
      <c r="AG147" s="213"/>
      <c r="AH147" s="213"/>
      <c r="AI147" s="213"/>
      <c r="AJ147" s="215">
        <f>IF(F147="","",LOOKUP(C147,'Gem types'!$I$3:$I$29,'Gem types'!$K$3:$K$29))</f>
      </c>
      <c r="AK147" s="215"/>
      <c r="AL147" s="215"/>
      <c r="AM147" s="215"/>
      <c r="AN147" s="215">
        <f>IF(F147="","",LOOKUP(C147,'Gem types'!$I$3:$I$29,'Gem types'!$L$3:$L$29))</f>
      </c>
      <c r="AO147" s="215"/>
      <c r="AP147" s="215"/>
      <c r="AQ147" s="215"/>
      <c r="AS147" s="219">
        <f t="shared" si="20"/>
      </c>
      <c r="AT147" s="219"/>
    </row>
    <row r="148" spans="1:46" s="99" customFormat="1" ht="21" customHeight="1">
      <c r="A148" s="127">
        <f>'Treasurer Creator'!AC30</f>
        <v>0</v>
      </c>
      <c r="B148" s="127">
        <f ca="1" t="shared" si="18"/>
        <v>1</v>
      </c>
      <c r="C148" s="128">
        <f ca="1" t="shared" si="19"/>
        <v>19</v>
      </c>
      <c r="D148" s="128">
        <f>SUM(LOOKUP(B148,'Gem types'!$B$3:$B$55,'Gem types'!$G$3:$G$55),PRODUCT(LOOKUP(B148,'Gem types'!$B$3:$B$55,'Gem types'!$G$3:$G$55),LOOKUP(C148,'Gem types'!$I$3:$I$29,'Gem types'!$J$3:$J$29)))</f>
        <v>60</v>
      </c>
      <c r="E148" s="98">
        <f t="shared" si="21"/>
      </c>
      <c r="F148" s="213">
        <f>IF(E148="","",LOOKUP(B148,'Gem types'!B3:C55,'Gem types'!C3:C55))</f>
      </c>
      <c r="G148" s="213"/>
      <c r="H148" s="213"/>
      <c r="I148" s="213"/>
      <c r="J148" s="213"/>
      <c r="K148" s="213"/>
      <c r="L148" s="213"/>
      <c r="M148" s="213"/>
      <c r="N148" s="213"/>
      <c r="O148" s="213">
        <f>IF(E148="","",LOOKUP(B148,'Gem types'!$B$3:$C$55,'Gem types'!$D$3:$D$55))</f>
      </c>
      <c r="P148" s="213"/>
      <c r="Q148" s="213"/>
      <c r="R148" s="213"/>
      <c r="S148" s="213"/>
      <c r="T148" s="213"/>
      <c r="U148" s="213"/>
      <c r="V148" s="213"/>
      <c r="W148" s="213"/>
      <c r="X148" s="213">
        <f>IF(E148="","",LOOKUP(B148,'Gem types'!$B$3:$C$55,'Gem types'!$F$3:$F$55))</f>
      </c>
      <c r="Y148" s="213"/>
      <c r="Z148" s="213"/>
      <c r="AA148" s="213"/>
      <c r="AB148" s="213"/>
      <c r="AC148" s="213"/>
      <c r="AD148" s="213"/>
      <c r="AE148" s="213"/>
      <c r="AF148" s="215">
        <f t="shared" si="22"/>
      </c>
      <c r="AG148" s="213"/>
      <c r="AH148" s="213"/>
      <c r="AI148" s="213"/>
      <c r="AJ148" s="215">
        <f>IF(F148="","",LOOKUP(C148,'Gem types'!$I$3:$I$29,'Gem types'!$K$3:$K$29))</f>
      </c>
      <c r="AK148" s="215"/>
      <c r="AL148" s="215"/>
      <c r="AM148" s="215"/>
      <c r="AN148" s="215">
        <f>IF(F148="","",LOOKUP(C148,'Gem types'!$I$3:$I$29,'Gem types'!$L$3:$L$29))</f>
      </c>
      <c r="AO148" s="215"/>
      <c r="AP148" s="215"/>
      <c r="AQ148" s="215"/>
      <c r="AS148" s="219">
        <f t="shared" si="20"/>
      </c>
      <c r="AT148" s="219"/>
    </row>
    <row r="149" spans="1:46" s="99" customFormat="1" ht="21" customHeight="1">
      <c r="A149" s="127">
        <f>'Treasurer Creator'!AC30</f>
        <v>0</v>
      </c>
      <c r="B149" s="127">
        <f ca="1" t="shared" si="18"/>
        <v>35</v>
      </c>
      <c r="C149" s="128">
        <f ca="1" t="shared" si="19"/>
        <v>7</v>
      </c>
      <c r="D149" s="128">
        <f>SUM(LOOKUP(B149,'Gem types'!$B$3:$B$55,'Gem types'!$G$3:$G$55),PRODUCT(LOOKUP(B149,'Gem types'!$B$3:$B$55,'Gem types'!$G$3:$G$55),LOOKUP(C149,'Gem types'!$I$3:$I$29,'Gem types'!$J$3:$J$29)))</f>
        <v>750</v>
      </c>
      <c r="E149" s="98">
        <f t="shared" si="21"/>
      </c>
      <c r="F149" s="213">
        <f>IF(E149="","",LOOKUP(B149,'Gem types'!B3:C55,'Gem types'!C3:C55))</f>
      </c>
      <c r="G149" s="213"/>
      <c r="H149" s="213"/>
      <c r="I149" s="213"/>
      <c r="J149" s="213"/>
      <c r="K149" s="213"/>
      <c r="L149" s="213"/>
      <c r="M149" s="213"/>
      <c r="N149" s="213"/>
      <c r="O149" s="213">
        <f>IF(E149="","",LOOKUP(B149,'Gem types'!$B$3:$C$55,'Gem types'!$D$3:$D$55))</f>
      </c>
      <c r="P149" s="213"/>
      <c r="Q149" s="213"/>
      <c r="R149" s="213"/>
      <c r="S149" s="213"/>
      <c r="T149" s="213"/>
      <c r="U149" s="213"/>
      <c r="V149" s="213"/>
      <c r="W149" s="213"/>
      <c r="X149" s="213">
        <f>IF(E149="","",LOOKUP(B149,'Gem types'!$B$3:$C$55,'Gem types'!$F$3:$F$55))</f>
      </c>
      <c r="Y149" s="213"/>
      <c r="Z149" s="213"/>
      <c r="AA149" s="213"/>
      <c r="AB149" s="213"/>
      <c r="AC149" s="213"/>
      <c r="AD149" s="213"/>
      <c r="AE149" s="213"/>
      <c r="AF149" s="215">
        <f t="shared" si="22"/>
      </c>
      <c r="AG149" s="213"/>
      <c r="AH149" s="213"/>
      <c r="AI149" s="213"/>
      <c r="AJ149" s="215">
        <f>IF(F149="","",LOOKUP(C149,'Gem types'!$I$3:$I$29,'Gem types'!$K$3:$K$29))</f>
      </c>
      <c r="AK149" s="215"/>
      <c r="AL149" s="215"/>
      <c r="AM149" s="215"/>
      <c r="AN149" s="215">
        <f>IF(F149="","",LOOKUP(C149,'Gem types'!$I$3:$I$29,'Gem types'!$L$3:$L$29))</f>
      </c>
      <c r="AO149" s="215"/>
      <c r="AP149" s="215"/>
      <c r="AQ149" s="215"/>
      <c r="AS149" s="219">
        <f t="shared" si="20"/>
      </c>
      <c r="AT149" s="219"/>
    </row>
    <row r="150" spans="1:46" s="99" customFormat="1" ht="21" customHeight="1">
      <c r="A150" s="127">
        <f>'Treasurer Creator'!AC30</f>
        <v>0</v>
      </c>
      <c r="B150" s="127">
        <f ca="1" t="shared" si="18"/>
        <v>23</v>
      </c>
      <c r="C150" s="128">
        <f ca="1" t="shared" si="19"/>
        <v>1</v>
      </c>
      <c r="D150" s="128">
        <f>SUM(LOOKUP(B150,'Gem types'!$B$3:$B$55,'Gem types'!$G$3:$G$55),PRODUCT(LOOKUP(B150,'Gem types'!$B$3:$B$55,'Gem types'!$G$3:$G$55),LOOKUP(C150,'Gem types'!$I$3:$I$29,'Gem types'!$J$3:$J$29)))</f>
        <v>1050</v>
      </c>
      <c r="E150" s="98">
        <f t="shared" si="21"/>
      </c>
      <c r="F150" s="213">
        <f>IF(E150="","",LOOKUP(B150,'Gem types'!B3:C55,'Gem types'!C3:C55))</f>
      </c>
      <c r="G150" s="213"/>
      <c r="H150" s="213"/>
      <c r="I150" s="213"/>
      <c r="J150" s="213"/>
      <c r="K150" s="213"/>
      <c r="L150" s="213"/>
      <c r="M150" s="213"/>
      <c r="N150" s="213"/>
      <c r="O150" s="213">
        <f>IF(E150="","",LOOKUP(B150,'Gem types'!$B$3:$C$55,'Gem types'!$D$3:$D$55))</f>
      </c>
      <c r="P150" s="213"/>
      <c r="Q150" s="213"/>
      <c r="R150" s="213"/>
      <c r="S150" s="213"/>
      <c r="T150" s="213"/>
      <c r="U150" s="213"/>
      <c r="V150" s="213"/>
      <c r="W150" s="213"/>
      <c r="X150" s="213">
        <f>IF(E150="","",LOOKUP(B150,'Gem types'!$B$3:$C$55,'Gem types'!$F$3:$F$55))</f>
      </c>
      <c r="Y150" s="213"/>
      <c r="Z150" s="213"/>
      <c r="AA150" s="213"/>
      <c r="AB150" s="213"/>
      <c r="AC150" s="213"/>
      <c r="AD150" s="213"/>
      <c r="AE150" s="213"/>
      <c r="AF150" s="215">
        <f t="shared" si="22"/>
      </c>
      <c r="AG150" s="213"/>
      <c r="AH150" s="213"/>
      <c r="AI150" s="213"/>
      <c r="AJ150" s="215">
        <f>IF(F150="","",LOOKUP(C150,'Gem types'!$I$3:$I$29,'Gem types'!$K$3:$K$29))</f>
      </c>
      <c r="AK150" s="215"/>
      <c r="AL150" s="215"/>
      <c r="AM150" s="215"/>
      <c r="AN150" s="215">
        <f>IF(F150="","",LOOKUP(C150,'Gem types'!$I$3:$I$29,'Gem types'!$L$3:$L$29))</f>
      </c>
      <c r="AO150" s="215"/>
      <c r="AP150" s="215"/>
      <c r="AQ150" s="215"/>
      <c r="AS150" s="219">
        <f t="shared" si="20"/>
      </c>
      <c r="AT150" s="219"/>
    </row>
    <row r="151" spans="1:46" s="99" customFormat="1" ht="21" customHeight="1">
      <c r="A151" s="127">
        <f>'Treasurer Creator'!AC30</f>
        <v>0</v>
      </c>
      <c r="B151" s="127">
        <f ca="1" t="shared" si="18"/>
        <v>46</v>
      </c>
      <c r="C151" s="128">
        <f ca="1" t="shared" si="19"/>
        <v>14</v>
      </c>
      <c r="D151" s="128">
        <f>SUM(LOOKUP(B151,'Gem types'!$B$3:$B$55,'Gem types'!$G$3:$G$55),PRODUCT(LOOKUP(B151,'Gem types'!$B$3:$B$55,'Gem types'!$G$3:$G$55),LOOKUP(C151,'Gem types'!$I$3:$I$29,'Gem types'!$J$3:$J$29)))</f>
        <v>1600</v>
      </c>
      <c r="E151" s="98">
        <f t="shared" si="21"/>
      </c>
      <c r="F151" s="213">
        <f>IF(E151="","",LOOKUP(B151,'Gem types'!B3:C55,'Gem types'!C3:C55))</f>
      </c>
      <c r="G151" s="213"/>
      <c r="H151" s="213"/>
      <c r="I151" s="213"/>
      <c r="J151" s="213"/>
      <c r="K151" s="213"/>
      <c r="L151" s="213"/>
      <c r="M151" s="213"/>
      <c r="N151" s="213"/>
      <c r="O151" s="213">
        <f>IF(E151="","",LOOKUP(B151,'Gem types'!$B$3:$C$55,'Gem types'!$D$3:$D$55))</f>
      </c>
      <c r="P151" s="213"/>
      <c r="Q151" s="213"/>
      <c r="R151" s="213"/>
      <c r="S151" s="213"/>
      <c r="T151" s="213"/>
      <c r="U151" s="213"/>
      <c r="V151" s="213"/>
      <c r="W151" s="213"/>
      <c r="X151" s="213">
        <f>IF(E151="","",LOOKUP(B151,'Gem types'!$B$3:$C$55,'Gem types'!$F$3:$F$55))</f>
      </c>
      <c r="Y151" s="213"/>
      <c r="Z151" s="213"/>
      <c r="AA151" s="213"/>
      <c r="AB151" s="213"/>
      <c r="AC151" s="213"/>
      <c r="AD151" s="213"/>
      <c r="AE151" s="213"/>
      <c r="AF151" s="215">
        <f t="shared" si="22"/>
      </c>
      <c r="AG151" s="213"/>
      <c r="AH151" s="213"/>
      <c r="AI151" s="213"/>
      <c r="AJ151" s="215">
        <f>IF(F151="","",LOOKUP(C151,'Gem types'!$I$3:$I$29,'Gem types'!$K$3:$K$29))</f>
      </c>
      <c r="AK151" s="215"/>
      <c r="AL151" s="215"/>
      <c r="AM151" s="215"/>
      <c r="AN151" s="215">
        <f>IF(F151="","",LOOKUP(C151,'Gem types'!$I$3:$I$29,'Gem types'!$L$3:$L$29))</f>
      </c>
      <c r="AO151" s="215"/>
      <c r="AP151" s="215"/>
      <c r="AQ151" s="215"/>
      <c r="AS151" s="219">
        <f t="shared" si="20"/>
      </c>
      <c r="AT151" s="219"/>
    </row>
    <row r="152" spans="1:46" s="99" customFormat="1" ht="21" customHeight="1">
      <c r="A152" s="127">
        <f>'Treasurer Creator'!AC30</f>
        <v>0</v>
      </c>
      <c r="B152" s="127">
        <f ca="1" t="shared" si="18"/>
        <v>35</v>
      </c>
      <c r="C152" s="128">
        <f ca="1" t="shared" si="19"/>
        <v>19</v>
      </c>
      <c r="D152" s="128">
        <f>SUM(LOOKUP(B152,'Gem types'!$B$3:$B$55,'Gem types'!$G$3:$G$55),PRODUCT(LOOKUP(B152,'Gem types'!$B$3:$B$55,'Gem types'!$G$3:$G$55),LOOKUP(C152,'Gem types'!$I$3:$I$29,'Gem types'!$J$3:$J$29)))</f>
        <v>1500</v>
      </c>
      <c r="E152" s="98">
        <f t="shared" si="21"/>
      </c>
      <c r="F152" s="213">
        <f>IF(E152="","",LOOKUP(B152,'Gem types'!B3:C55,'Gem types'!C3:C55))</f>
      </c>
      <c r="G152" s="213"/>
      <c r="H152" s="213"/>
      <c r="I152" s="213"/>
      <c r="J152" s="213"/>
      <c r="K152" s="213"/>
      <c r="L152" s="213"/>
      <c r="M152" s="213"/>
      <c r="N152" s="213"/>
      <c r="O152" s="213">
        <f>IF(E152="","",LOOKUP(B152,'Gem types'!$B$3:$C$55,'Gem types'!$D$3:$D$55))</f>
      </c>
      <c r="P152" s="213"/>
      <c r="Q152" s="213"/>
      <c r="R152" s="213"/>
      <c r="S152" s="213"/>
      <c r="T152" s="213"/>
      <c r="U152" s="213"/>
      <c r="V152" s="213"/>
      <c r="W152" s="213"/>
      <c r="X152" s="213">
        <f>IF(E152="","",LOOKUP(B152,'Gem types'!$B$3:$C$55,'Gem types'!$F$3:$F$55))</f>
      </c>
      <c r="Y152" s="213"/>
      <c r="Z152" s="213"/>
      <c r="AA152" s="213"/>
      <c r="AB152" s="213"/>
      <c r="AC152" s="213"/>
      <c r="AD152" s="213"/>
      <c r="AE152" s="213"/>
      <c r="AF152" s="215">
        <f t="shared" si="22"/>
      </c>
      <c r="AG152" s="213"/>
      <c r="AH152" s="213"/>
      <c r="AI152" s="213"/>
      <c r="AJ152" s="215">
        <f>IF(F152="","",LOOKUP(C152,'Gem types'!$I$3:$I$29,'Gem types'!$K$3:$K$29))</f>
      </c>
      <c r="AK152" s="215"/>
      <c r="AL152" s="215"/>
      <c r="AM152" s="215"/>
      <c r="AN152" s="215">
        <f>IF(F152="","",LOOKUP(C152,'Gem types'!$I$3:$I$29,'Gem types'!$L$3:$L$29))</f>
      </c>
      <c r="AO152" s="215"/>
      <c r="AP152" s="215"/>
      <c r="AQ152" s="215"/>
      <c r="AS152" s="219">
        <f t="shared" si="20"/>
      </c>
      <c r="AT152" s="219"/>
    </row>
    <row r="153" spans="1:46" s="99" customFormat="1" ht="21" customHeight="1">
      <c r="A153" s="127">
        <f>'Treasurer Creator'!AC30</f>
        <v>0</v>
      </c>
      <c r="B153" s="127">
        <f ca="1" t="shared" si="18"/>
        <v>21</v>
      </c>
      <c r="C153" s="128">
        <f ca="1" t="shared" si="19"/>
        <v>24</v>
      </c>
      <c r="D153" s="128">
        <f>SUM(LOOKUP(B153,'Gem types'!$B$3:$B$55,'Gem types'!$G$3:$G$55),PRODUCT(LOOKUP(B153,'Gem types'!$B$3:$B$55,'Gem types'!$G$3:$G$55),LOOKUP(C153,'Gem types'!$I$3:$I$29,'Gem types'!$J$3:$J$29)))</f>
        <v>25</v>
      </c>
      <c r="E153" s="98">
        <f t="shared" si="21"/>
      </c>
      <c r="F153" s="213">
        <f>IF(E153="","",LOOKUP(B153,'Gem types'!B3:C55,'Gem types'!C3:C55))</f>
      </c>
      <c r="G153" s="213"/>
      <c r="H153" s="213"/>
      <c r="I153" s="213"/>
      <c r="J153" s="213"/>
      <c r="K153" s="213"/>
      <c r="L153" s="213"/>
      <c r="M153" s="213"/>
      <c r="N153" s="213"/>
      <c r="O153" s="213">
        <f>IF(E153="","",LOOKUP(B153,'Gem types'!$B$3:$C$55,'Gem types'!$D$3:$D$55))</f>
      </c>
      <c r="P153" s="213"/>
      <c r="Q153" s="213"/>
      <c r="R153" s="213"/>
      <c r="S153" s="213"/>
      <c r="T153" s="213"/>
      <c r="U153" s="213"/>
      <c r="V153" s="213"/>
      <c r="W153" s="213"/>
      <c r="X153" s="213">
        <f>IF(E153="","",LOOKUP(B153,'Gem types'!$B$3:$C$55,'Gem types'!$F$3:$F$55))</f>
      </c>
      <c r="Y153" s="213"/>
      <c r="Z153" s="213"/>
      <c r="AA153" s="213"/>
      <c r="AB153" s="213"/>
      <c r="AC153" s="213"/>
      <c r="AD153" s="213"/>
      <c r="AE153" s="213"/>
      <c r="AF153" s="215">
        <f t="shared" si="22"/>
      </c>
      <c r="AG153" s="213"/>
      <c r="AH153" s="213"/>
      <c r="AI153" s="213"/>
      <c r="AJ153" s="215">
        <f>IF(F153="","",LOOKUP(C153,'Gem types'!$I$3:$I$29,'Gem types'!$K$3:$K$29))</f>
      </c>
      <c r="AK153" s="215"/>
      <c r="AL153" s="215"/>
      <c r="AM153" s="215"/>
      <c r="AN153" s="215">
        <f>IF(F153="","",LOOKUP(C153,'Gem types'!$I$3:$I$29,'Gem types'!$L$3:$L$29))</f>
      </c>
      <c r="AO153" s="215"/>
      <c r="AP153" s="215"/>
      <c r="AQ153" s="215"/>
      <c r="AS153" s="219">
        <f t="shared" si="20"/>
      </c>
      <c r="AT153" s="219"/>
    </row>
    <row r="154" spans="1:46" s="99" customFormat="1" ht="21" customHeight="1">
      <c r="A154" s="127">
        <f>'Treasurer Creator'!AC30</f>
        <v>0</v>
      </c>
      <c r="B154" s="127">
        <f ca="1" t="shared" si="18"/>
        <v>4</v>
      </c>
      <c r="C154" s="128">
        <f ca="1" t="shared" si="19"/>
        <v>24</v>
      </c>
      <c r="D154" s="128">
        <f>SUM(LOOKUP(B154,'Gem types'!$B$3:$B$55,'Gem types'!$G$3:$G$55),PRODUCT(LOOKUP(B154,'Gem types'!$B$3:$B$55,'Gem types'!$G$3:$G$55),LOOKUP(C154,'Gem types'!$I$3:$I$29,'Gem types'!$J$3:$J$29)))</f>
        <v>5</v>
      </c>
      <c r="E154" s="98">
        <f t="shared" si="21"/>
      </c>
      <c r="F154" s="213">
        <f>IF(E154="","",LOOKUP(B154,'Gem types'!B3:C55,'Gem types'!C3:C55))</f>
      </c>
      <c r="G154" s="213"/>
      <c r="H154" s="213"/>
      <c r="I154" s="213"/>
      <c r="J154" s="213"/>
      <c r="K154" s="213"/>
      <c r="L154" s="213"/>
      <c r="M154" s="213"/>
      <c r="N154" s="213"/>
      <c r="O154" s="213">
        <f>IF(E154="","",LOOKUP(B154,'Gem types'!$B$3:$C$55,'Gem types'!$D$3:$D$55))</f>
      </c>
      <c r="P154" s="213"/>
      <c r="Q154" s="213"/>
      <c r="R154" s="213"/>
      <c r="S154" s="213"/>
      <c r="T154" s="213"/>
      <c r="U154" s="213"/>
      <c r="V154" s="213"/>
      <c r="W154" s="213"/>
      <c r="X154" s="213">
        <f>IF(E154="","",LOOKUP(B154,'Gem types'!$B$3:$C$55,'Gem types'!$F$3:$F$55))</f>
      </c>
      <c r="Y154" s="213"/>
      <c r="Z154" s="213"/>
      <c r="AA154" s="213"/>
      <c r="AB154" s="213"/>
      <c r="AC154" s="213"/>
      <c r="AD154" s="213"/>
      <c r="AE154" s="213"/>
      <c r="AF154" s="215">
        <f t="shared" si="22"/>
      </c>
      <c r="AG154" s="213"/>
      <c r="AH154" s="213"/>
      <c r="AI154" s="213"/>
      <c r="AJ154" s="215">
        <f>IF(F154="","",LOOKUP(C154,'Gem types'!$I$3:$I$29,'Gem types'!$K$3:$K$29))</f>
      </c>
      <c r="AK154" s="215"/>
      <c r="AL154" s="215"/>
      <c r="AM154" s="215"/>
      <c r="AN154" s="215">
        <f>IF(F154="","",LOOKUP(C154,'Gem types'!$I$3:$I$29,'Gem types'!$L$3:$L$29))</f>
      </c>
      <c r="AO154" s="215"/>
      <c r="AP154" s="215"/>
      <c r="AQ154" s="215"/>
      <c r="AS154" s="219">
        <f t="shared" si="20"/>
      </c>
      <c r="AT154" s="219"/>
    </row>
    <row r="155" spans="1:46" s="99" customFormat="1" ht="21" customHeight="1">
      <c r="A155" s="127">
        <f>'Treasurer Creator'!AC30</f>
        <v>0</v>
      </c>
      <c r="B155" s="127">
        <f ca="1" t="shared" si="18"/>
        <v>36</v>
      </c>
      <c r="C155" s="128">
        <f ca="1" t="shared" si="19"/>
        <v>27</v>
      </c>
      <c r="D155" s="128">
        <f>SUM(LOOKUP(B155,'Gem types'!$B$3:$B$55,'Gem types'!$G$3:$G$55),PRODUCT(LOOKUP(B155,'Gem types'!$B$3:$B$55,'Gem types'!$G$3:$G$55),LOOKUP(C155,'Gem types'!$I$3:$I$29,'Gem types'!$J$3:$J$29)))</f>
        <v>100</v>
      </c>
      <c r="E155" s="98">
        <f t="shared" si="21"/>
      </c>
      <c r="F155" s="213">
        <f>IF(E155="","",LOOKUP(B155,'Gem types'!B3:C55,'Gem types'!C3:C55))</f>
      </c>
      <c r="G155" s="213"/>
      <c r="H155" s="213"/>
      <c r="I155" s="213"/>
      <c r="J155" s="213"/>
      <c r="K155" s="213"/>
      <c r="L155" s="213"/>
      <c r="M155" s="213"/>
      <c r="N155" s="213"/>
      <c r="O155" s="213">
        <f>IF(E155="","",LOOKUP(B155,'Gem types'!$B$3:$C$55,'Gem types'!$D$3:$D$55))</f>
      </c>
      <c r="P155" s="213"/>
      <c r="Q155" s="213"/>
      <c r="R155" s="213"/>
      <c r="S155" s="213"/>
      <c r="T155" s="213"/>
      <c r="U155" s="213"/>
      <c r="V155" s="213"/>
      <c r="W155" s="213"/>
      <c r="X155" s="213">
        <f>IF(E155="","",LOOKUP(B155,'Gem types'!$B$3:$C$55,'Gem types'!$F$3:$F$55))</f>
      </c>
      <c r="Y155" s="213"/>
      <c r="Z155" s="213"/>
      <c r="AA155" s="213"/>
      <c r="AB155" s="213"/>
      <c r="AC155" s="213"/>
      <c r="AD155" s="213"/>
      <c r="AE155" s="213"/>
      <c r="AF155" s="215">
        <f t="shared" si="22"/>
      </c>
      <c r="AG155" s="213"/>
      <c r="AH155" s="213"/>
      <c r="AI155" s="213"/>
      <c r="AJ155" s="215">
        <f>IF(F155="","",LOOKUP(C155,'Gem types'!$I$3:$I$29,'Gem types'!$K$3:$K$29))</f>
      </c>
      <c r="AK155" s="215"/>
      <c r="AL155" s="215"/>
      <c r="AM155" s="215"/>
      <c r="AN155" s="215">
        <f>IF(F155="","",LOOKUP(C155,'Gem types'!$I$3:$I$29,'Gem types'!$L$3:$L$29))</f>
      </c>
      <c r="AO155" s="215"/>
      <c r="AP155" s="215"/>
      <c r="AQ155" s="215"/>
      <c r="AS155" s="219">
        <f t="shared" si="20"/>
      </c>
      <c r="AT155" s="219"/>
    </row>
    <row r="156" spans="1:46" s="99" customFormat="1" ht="21" customHeight="1">
      <c r="A156" s="127">
        <f>'Treasurer Creator'!AC30</f>
        <v>0</v>
      </c>
      <c r="B156" s="127">
        <f ca="1" t="shared" si="18"/>
        <v>36</v>
      </c>
      <c r="C156" s="128">
        <f ca="1" t="shared" si="19"/>
        <v>13</v>
      </c>
      <c r="D156" s="128">
        <f>SUM(LOOKUP(B156,'Gem types'!$B$3:$B$55,'Gem types'!$G$3:$G$55),PRODUCT(LOOKUP(B156,'Gem types'!$B$3:$B$55,'Gem types'!$G$3:$G$55),LOOKUP(C156,'Gem types'!$I$3:$I$29,'Gem types'!$J$3:$J$29)))</f>
        <v>750</v>
      </c>
      <c r="E156" s="98">
        <f t="shared" si="21"/>
      </c>
      <c r="F156" s="213">
        <f>IF(E156="","",LOOKUP(B156,'Gem types'!B3:C55,'Gem types'!C3:C55))</f>
      </c>
      <c r="G156" s="213"/>
      <c r="H156" s="213"/>
      <c r="I156" s="213"/>
      <c r="J156" s="213"/>
      <c r="K156" s="213"/>
      <c r="L156" s="213"/>
      <c r="M156" s="213"/>
      <c r="N156" s="213"/>
      <c r="O156" s="213">
        <f>IF(E156="","",LOOKUP(B156,'Gem types'!$B$3:$C$55,'Gem types'!$D$3:$D$55))</f>
      </c>
      <c r="P156" s="213"/>
      <c r="Q156" s="213"/>
      <c r="R156" s="213"/>
      <c r="S156" s="213"/>
      <c r="T156" s="213"/>
      <c r="U156" s="213"/>
      <c r="V156" s="213"/>
      <c r="W156" s="213"/>
      <c r="X156" s="213">
        <f>IF(E156="","",LOOKUP(B156,'Gem types'!$B$3:$C$55,'Gem types'!$F$3:$F$55))</f>
      </c>
      <c r="Y156" s="213"/>
      <c r="Z156" s="213"/>
      <c r="AA156" s="213"/>
      <c r="AB156" s="213"/>
      <c r="AC156" s="213"/>
      <c r="AD156" s="213"/>
      <c r="AE156" s="213"/>
      <c r="AF156" s="215">
        <f t="shared" si="22"/>
      </c>
      <c r="AG156" s="213"/>
      <c r="AH156" s="213"/>
      <c r="AI156" s="213"/>
      <c r="AJ156" s="215">
        <f>IF(F156="","",LOOKUP(C156,'Gem types'!$I$3:$I$29,'Gem types'!$K$3:$K$29))</f>
      </c>
      <c r="AK156" s="215"/>
      <c r="AL156" s="215"/>
      <c r="AM156" s="215"/>
      <c r="AN156" s="215">
        <f>IF(F156="","",LOOKUP(C156,'Gem types'!$I$3:$I$29,'Gem types'!$L$3:$L$29))</f>
      </c>
      <c r="AO156" s="215"/>
      <c r="AP156" s="215"/>
      <c r="AQ156" s="215"/>
      <c r="AS156" s="219">
        <f t="shared" si="20"/>
      </c>
      <c r="AT156" s="219"/>
    </row>
    <row r="157" spans="1:46" s="99" customFormat="1" ht="21" customHeight="1">
      <c r="A157" s="127">
        <f>'Treasurer Creator'!AC30</f>
        <v>0</v>
      </c>
      <c r="B157" s="127">
        <f ca="1" t="shared" si="18"/>
        <v>14</v>
      </c>
      <c r="C157" s="128">
        <f ca="1" t="shared" si="19"/>
        <v>26</v>
      </c>
      <c r="D157" s="128">
        <f>SUM(LOOKUP(B157,'Gem types'!$B$3:$B$55,'Gem types'!$G$3:$G$55),PRODUCT(LOOKUP(B157,'Gem types'!$B$3:$B$55,'Gem types'!$G$3:$G$55),LOOKUP(C157,'Gem types'!$I$3:$I$29,'Gem types'!$J$3:$J$29)))</f>
        <v>15</v>
      </c>
      <c r="E157" s="98">
        <f t="shared" si="21"/>
      </c>
      <c r="F157" s="213">
        <f>IF(E157="","",LOOKUP(B157,'Gem types'!B3:C55,'Gem types'!C3:C55))</f>
      </c>
      <c r="G157" s="213"/>
      <c r="H157" s="213"/>
      <c r="I157" s="213"/>
      <c r="J157" s="213"/>
      <c r="K157" s="213"/>
      <c r="L157" s="213"/>
      <c r="M157" s="213"/>
      <c r="N157" s="213"/>
      <c r="O157" s="213">
        <f>IF(E157="","",LOOKUP(B157,'Gem types'!$B$3:$C$55,'Gem types'!$D$3:$D$55))</f>
      </c>
      <c r="P157" s="213"/>
      <c r="Q157" s="213"/>
      <c r="R157" s="213"/>
      <c r="S157" s="213"/>
      <c r="T157" s="213"/>
      <c r="U157" s="213"/>
      <c r="V157" s="213"/>
      <c r="W157" s="213"/>
      <c r="X157" s="213">
        <f>IF(E157="","",LOOKUP(B157,'Gem types'!$B$3:$C$55,'Gem types'!$F$3:$F$55))</f>
      </c>
      <c r="Y157" s="213"/>
      <c r="Z157" s="213"/>
      <c r="AA157" s="213"/>
      <c r="AB157" s="213"/>
      <c r="AC157" s="213"/>
      <c r="AD157" s="213"/>
      <c r="AE157" s="213"/>
      <c r="AF157" s="215">
        <f t="shared" si="22"/>
      </c>
      <c r="AG157" s="213"/>
      <c r="AH157" s="213"/>
      <c r="AI157" s="213"/>
      <c r="AJ157" s="215">
        <f>IF(F157="","",LOOKUP(C157,'Gem types'!$I$3:$I$29,'Gem types'!$K$3:$K$29))</f>
      </c>
      <c r="AK157" s="215"/>
      <c r="AL157" s="215"/>
      <c r="AM157" s="215"/>
      <c r="AN157" s="215">
        <f>IF(F157="","",LOOKUP(C157,'Gem types'!$I$3:$I$29,'Gem types'!$L$3:$L$29))</f>
      </c>
      <c r="AO157" s="215"/>
      <c r="AP157" s="215"/>
      <c r="AQ157" s="215"/>
      <c r="AS157" s="219">
        <f t="shared" si="20"/>
      </c>
      <c r="AT157" s="219"/>
    </row>
    <row r="158" spans="1:46" s="99" customFormat="1" ht="21" customHeight="1">
      <c r="A158" s="127">
        <f>'Treasurer Creator'!AC30</f>
        <v>0</v>
      </c>
      <c r="B158" s="127">
        <f ca="1" t="shared" si="18"/>
        <v>45</v>
      </c>
      <c r="C158" s="128">
        <f ca="1" t="shared" si="19"/>
        <v>18</v>
      </c>
      <c r="D158" s="128">
        <f>SUM(LOOKUP(B158,'Gem types'!$B$3:$B$55,'Gem types'!$G$3:$G$55),PRODUCT(LOOKUP(B158,'Gem types'!$B$3:$B$55,'Gem types'!$G$3:$G$55),LOOKUP(C158,'Gem types'!$I$3:$I$29,'Gem types'!$J$3:$J$29)))</f>
        <v>25000</v>
      </c>
      <c r="E158" s="98">
        <f t="shared" si="21"/>
      </c>
      <c r="F158" s="213">
        <f>IF(E158="","",LOOKUP(B158,'Gem types'!B3:C55,'Gem types'!C3:C55))</f>
      </c>
      <c r="G158" s="213"/>
      <c r="H158" s="213"/>
      <c r="I158" s="213"/>
      <c r="J158" s="213"/>
      <c r="K158" s="213"/>
      <c r="L158" s="213"/>
      <c r="M158" s="213"/>
      <c r="N158" s="213"/>
      <c r="O158" s="213">
        <f>IF(E158="","",LOOKUP(B158,'Gem types'!$B$3:$C$55,'Gem types'!$D$3:$D$55))</f>
      </c>
      <c r="P158" s="213"/>
      <c r="Q158" s="213"/>
      <c r="R158" s="213"/>
      <c r="S158" s="213"/>
      <c r="T158" s="213"/>
      <c r="U158" s="213"/>
      <c r="V158" s="213"/>
      <c r="W158" s="213"/>
      <c r="X158" s="213">
        <f>IF(E158="","",LOOKUP(B158,'Gem types'!$B$3:$C$55,'Gem types'!$F$3:$F$55))</f>
      </c>
      <c r="Y158" s="213"/>
      <c r="Z158" s="213"/>
      <c r="AA158" s="213"/>
      <c r="AB158" s="213"/>
      <c r="AC158" s="213"/>
      <c r="AD158" s="213"/>
      <c r="AE158" s="213"/>
      <c r="AF158" s="215">
        <f t="shared" si="22"/>
      </c>
      <c r="AG158" s="213"/>
      <c r="AH158" s="213"/>
      <c r="AI158" s="213"/>
      <c r="AJ158" s="215">
        <f>IF(F158="","",LOOKUP(C158,'Gem types'!$I$3:$I$29,'Gem types'!$K$3:$K$29))</f>
      </c>
      <c r="AK158" s="215"/>
      <c r="AL158" s="215"/>
      <c r="AM158" s="215"/>
      <c r="AN158" s="215">
        <f>IF(F158="","",LOOKUP(C158,'Gem types'!$I$3:$I$29,'Gem types'!$L$3:$L$29))</f>
      </c>
      <c r="AO158" s="215"/>
      <c r="AP158" s="215"/>
      <c r="AQ158" s="215"/>
      <c r="AS158" s="219">
        <f t="shared" si="20"/>
      </c>
      <c r="AT158" s="219"/>
    </row>
    <row r="159" spans="1:46" s="99" customFormat="1" ht="21" customHeight="1">
      <c r="A159" s="127">
        <f>'Treasurer Creator'!AC30</f>
        <v>0</v>
      </c>
      <c r="B159" s="127">
        <f ca="1" t="shared" si="18"/>
        <v>13</v>
      </c>
      <c r="C159" s="128">
        <f ca="1" t="shared" si="19"/>
        <v>1</v>
      </c>
      <c r="D159" s="128">
        <f>SUM(LOOKUP(B159,'Gem types'!$B$3:$B$55,'Gem types'!$G$3:$G$55),PRODUCT(LOOKUP(B159,'Gem types'!$B$3:$B$55,'Gem types'!$G$3:$G$55),LOOKUP(C159,'Gem types'!$I$3:$I$29,'Gem types'!$J$3:$J$29)))</f>
        <v>1050</v>
      </c>
      <c r="E159" s="98">
        <f t="shared" si="21"/>
      </c>
      <c r="F159" s="213">
        <f>IF(E159="","",LOOKUP(B159,'Gem types'!B3:C55,'Gem types'!C3:C55))</f>
      </c>
      <c r="G159" s="213"/>
      <c r="H159" s="213"/>
      <c r="I159" s="213"/>
      <c r="J159" s="213"/>
      <c r="K159" s="213"/>
      <c r="L159" s="213"/>
      <c r="M159" s="213"/>
      <c r="N159" s="213"/>
      <c r="O159" s="213">
        <f>IF(E159="","",LOOKUP(B159,'Gem types'!$B$3:$C$55,'Gem types'!$D$3:$D$55))</f>
      </c>
      <c r="P159" s="213"/>
      <c r="Q159" s="213"/>
      <c r="R159" s="213"/>
      <c r="S159" s="213"/>
      <c r="T159" s="213"/>
      <c r="U159" s="213"/>
      <c r="V159" s="213"/>
      <c r="W159" s="213"/>
      <c r="X159" s="213">
        <f>IF(E159="","",LOOKUP(B159,'Gem types'!$B$3:$C$55,'Gem types'!$F$3:$F$55))</f>
      </c>
      <c r="Y159" s="213"/>
      <c r="Z159" s="213"/>
      <c r="AA159" s="213"/>
      <c r="AB159" s="213"/>
      <c r="AC159" s="213"/>
      <c r="AD159" s="213"/>
      <c r="AE159" s="213"/>
      <c r="AF159" s="215">
        <f t="shared" si="22"/>
      </c>
      <c r="AG159" s="213"/>
      <c r="AH159" s="213"/>
      <c r="AI159" s="213"/>
      <c r="AJ159" s="215">
        <f>IF(F159="","",LOOKUP(C159,'Gem types'!$I$3:$I$29,'Gem types'!$K$3:$K$29))</f>
      </c>
      <c r="AK159" s="215"/>
      <c r="AL159" s="215"/>
      <c r="AM159" s="215"/>
      <c r="AN159" s="215">
        <f>IF(F159="","",LOOKUP(C159,'Gem types'!$I$3:$I$29,'Gem types'!$L$3:$L$29))</f>
      </c>
      <c r="AO159" s="215"/>
      <c r="AP159" s="215"/>
      <c r="AQ159" s="215"/>
      <c r="AS159" s="219">
        <f t="shared" si="20"/>
      </c>
      <c r="AT159" s="219"/>
    </row>
    <row r="160" spans="1:46" s="99" customFormat="1" ht="21" customHeight="1">
      <c r="A160" s="127">
        <f>'Treasurer Creator'!AC30</f>
        <v>0</v>
      </c>
      <c r="B160" s="127">
        <f ca="1" t="shared" si="18"/>
        <v>53</v>
      </c>
      <c r="C160" s="128">
        <f ca="1" t="shared" si="19"/>
        <v>11</v>
      </c>
      <c r="D160" s="128">
        <f>SUM(LOOKUP(B160,'Gem types'!$B$3:$B$55,'Gem types'!$G$3:$G$55),PRODUCT(LOOKUP(B160,'Gem types'!$B$3:$B$55,'Gem types'!$G$3:$G$55),LOOKUP(C160,'Gem types'!$I$3:$I$29,'Gem types'!$J$3:$J$29)))</f>
        <v>1300</v>
      </c>
      <c r="E160" s="98">
        <f t="shared" si="21"/>
      </c>
      <c r="F160" s="213">
        <f>IF(E160="","",LOOKUP(B160,'Gem types'!B3:C55,'Gem types'!C3:C55))</f>
      </c>
      <c r="G160" s="213"/>
      <c r="H160" s="213"/>
      <c r="I160" s="213"/>
      <c r="J160" s="213"/>
      <c r="K160" s="213"/>
      <c r="L160" s="213"/>
      <c r="M160" s="213"/>
      <c r="N160" s="213"/>
      <c r="O160" s="213">
        <f>IF(E160="","",LOOKUP(B160,'Gem types'!$B$3:$C$55,'Gem types'!$D$3:$D$55))</f>
      </c>
      <c r="P160" s="213"/>
      <c r="Q160" s="213"/>
      <c r="R160" s="213"/>
      <c r="S160" s="213"/>
      <c r="T160" s="213"/>
      <c r="U160" s="213"/>
      <c r="V160" s="213"/>
      <c r="W160" s="213"/>
      <c r="X160" s="213">
        <f>IF(E160="","",LOOKUP(B160,'Gem types'!$B$3:$C$55,'Gem types'!$F$3:$F$55))</f>
      </c>
      <c r="Y160" s="213"/>
      <c r="Z160" s="213"/>
      <c r="AA160" s="213"/>
      <c r="AB160" s="213"/>
      <c r="AC160" s="213"/>
      <c r="AD160" s="213"/>
      <c r="AE160" s="213"/>
      <c r="AF160" s="215">
        <f t="shared" si="22"/>
      </c>
      <c r="AG160" s="213"/>
      <c r="AH160" s="213"/>
      <c r="AI160" s="213"/>
      <c r="AJ160" s="215">
        <f>IF(F160="","",LOOKUP(C160,'Gem types'!$I$3:$I$29,'Gem types'!$K$3:$K$29))</f>
      </c>
      <c r="AK160" s="215"/>
      <c r="AL160" s="215"/>
      <c r="AM160" s="215"/>
      <c r="AN160" s="215">
        <f>IF(F160="","",LOOKUP(C160,'Gem types'!$I$3:$I$29,'Gem types'!$L$3:$L$29))</f>
      </c>
      <c r="AO160" s="215"/>
      <c r="AP160" s="215"/>
      <c r="AQ160" s="215"/>
      <c r="AS160" s="219">
        <f t="shared" si="20"/>
      </c>
      <c r="AT160" s="219"/>
    </row>
    <row r="161" spans="1:46" s="99" customFormat="1" ht="21" customHeight="1">
      <c r="A161" s="127">
        <f>'Treasurer Creator'!AC30</f>
        <v>0</v>
      </c>
      <c r="B161" s="127">
        <f ca="1" t="shared" si="18"/>
        <v>4</v>
      </c>
      <c r="C161" s="128">
        <f ca="1" t="shared" si="19"/>
        <v>12</v>
      </c>
      <c r="D161" s="128">
        <f>SUM(LOOKUP(B161,'Gem types'!$B$3:$B$55,'Gem types'!$G$3:$G$55),PRODUCT(LOOKUP(B161,'Gem types'!$B$3:$B$55,'Gem types'!$G$3:$G$55),LOOKUP(C161,'Gem types'!$I$3:$I$29,'Gem types'!$J$3:$J$29)))</f>
        <v>14</v>
      </c>
      <c r="E161" s="98">
        <f t="shared" si="21"/>
      </c>
      <c r="F161" s="213">
        <f>IF(E161="","",LOOKUP(B161,'Gem types'!B3:C55,'Gem types'!C3:C55))</f>
      </c>
      <c r="G161" s="213"/>
      <c r="H161" s="213"/>
      <c r="I161" s="213"/>
      <c r="J161" s="213"/>
      <c r="K161" s="213"/>
      <c r="L161" s="213"/>
      <c r="M161" s="213"/>
      <c r="N161" s="213"/>
      <c r="O161" s="213">
        <f>IF(E161="","",LOOKUP(B161,'Gem types'!$B$3:$C$55,'Gem types'!$D$3:$D$55))</f>
      </c>
      <c r="P161" s="213"/>
      <c r="Q161" s="213"/>
      <c r="R161" s="213"/>
      <c r="S161" s="213"/>
      <c r="T161" s="213"/>
      <c r="U161" s="213"/>
      <c r="V161" s="213"/>
      <c r="W161" s="213"/>
      <c r="X161" s="213">
        <f>IF(E161="","",LOOKUP(B161,'Gem types'!$B$3:$C$55,'Gem types'!$F$3:$F$55))</f>
      </c>
      <c r="Y161" s="213"/>
      <c r="Z161" s="213"/>
      <c r="AA161" s="213"/>
      <c r="AB161" s="213"/>
      <c r="AC161" s="213"/>
      <c r="AD161" s="213"/>
      <c r="AE161" s="213"/>
      <c r="AF161" s="215">
        <f t="shared" si="22"/>
      </c>
      <c r="AG161" s="213"/>
      <c r="AH161" s="213"/>
      <c r="AI161" s="213"/>
      <c r="AJ161" s="215">
        <f>IF(F161="","",LOOKUP(C161,'Gem types'!$I$3:$I$29,'Gem types'!$K$3:$K$29))</f>
      </c>
      <c r="AK161" s="215"/>
      <c r="AL161" s="215"/>
      <c r="AM161" s="215"/>
      <c r="AN161" s="215">
        <f>IF(F161="","",LOOKUP(C161,'Gem types'!$I$3:$I$29,'Gem types'!$L$3:$L$29))</f>
      </c>
      <c r="AO161" s="215"/>
      <c r="AP161" s="215"/>
      <c r="AQ161" s="215"/>
      <c r="AS161" s="219">
        <f t="shared" si="20"/>
      </c>
      <c r="AT161" s="219"/>
    </row>
    <row r="162" spans="1:46" s="99" customFormat="1" ht="21" customHeight="1">
      <c r="A162" s="127">
        <f>'Treasurer Creator'!AC30</f>
        <v>0</v>
      </c>
      <c r="B162" s="127">
        <f ca="1" t="shared" si="18"/>
        <v>36</v>
      </c>
      <c r="C162" s="128">
        <f ca="1" t="shared" si="19"/>
        <v>24</v>
      </c>
      <c r="D162" s="128">
        <f>SUM(LOOKUP(B162,'Gem types'!$B$3:$B$55,'Gem types'!$G$3:$G$55),PRODUCT(LOOKUP(B162,'Gem types'!$B$3:$B$55,'Gem types'!$G$3:$G$55),LOOKUP(C162,'Gem types'!$I$3:$I$29,'Gem types'!$J$3:$J$29)))</f>
        <v>250</v>
      </c>
      <c r="E162" s="98">
        <f t="shared" si="21"/>
      </c>
      <c r="F162" s="213">
        <f>IF(E162="","",LOOKUP(B162,'Gem types'!B3:C55,'Gem types'!C3:C55))</f>
      </c>
      <c r="G162" s="213"/>
      <c r="H162" s="213"/>
      <c r="I162" s="213"/>
      <c r="J162" s="213"/>
      <c r="K162" s="213"/>
      <c r="L162" s="213"/>
      <c r="M162" s="213"/>
      <c r="N162" s="213"/>
      <c r="O162" s="213">
        <f>IF(E162="","",LOOKUP(B162,'Gem types'!$B$3:$C$55,'Gem types'!$D$3:$D$55))</f>
      </c>
      <c r="P162" s="213"/>
      <c r="Q162" s="213"/>
      <c r="R162" s="213"/>
      <c r="S162" s="213"/>
      <c r="T162" s="213"/>
      <c r="U162" s="213"/>
      <c r="V162" s="213"/>
      <c r="W162" s="213"/>
      <c r="X162" s="213">
        <f>IF(E162="","",LOOKUP(B162,'Gem types'!$B$3:$C$55,'Gem types'!$F$3:$F$55))</f>
      </c>
      <c r="Y162" s="213"/>
      <c r="Z162" s="213"/>
      <c r="AA162" s="213"/>
      <c r="AB162" s="213"/>
      <c r="AC162" s="213"/>
      <c r="AD162" s="213"/>
      <c r="AE162" s="213"/>
      <c r="AF162" s="215">
        <f t="shared" si="22"/>
      </c>
      <c r="AG162" s="213"/>
      <c r="AH162" s="213"/>
      <c r="AI162" s="213"/>
      <c r="AJ162" s="215">
        <f>IF(F162="","",LOOKUP(C162,'Gem types'!$I$3:$I$29,'Gem types'!$K$3:$K$29))</f>
      </c>
      <c r="AK162" s="215"/>
      <c r="AL162" s="215"/>
      <c r="AM162" s="215"/>
      <c r="AN162" s="215">
        <f>IF(F162="","",LOOKUP(C162,'Gem types'!$I$3:$I$29,'Gem types'!$L$3:$L$29))</f>
      </c>
      <c r="AO162" s="215"/>
      <c r="AP162" s="215"/>
      <c r="AQ162" s="215"/>
      <c r="AS162" s="219">
        <f t="shared" si="20"/>
      </c>
      <c r="AT162" s="219"/>
    </row>
    <row r="163" spans="1:46" s="99" customFormat="1" ht="21" customHeight="1">
      <c r="A163" s="127">
        <f>'Treasurer Creator'!AC30</f>
        <v>0</v>
      </c>
      <c r="B163" s="127">
        <f ca="1" t="shared" si="18"/>
        <v>12</v>
      </c>
      <c r="C163" s="128">
        <f ca="1" t="shared" si="19"/>
        <v>24</v>
      </c>
      <c r="D163" s="128">
        <f>SUM(LOOKUP(B163,'Gem types'!$B$3:$B$55,'Gem types'!$G$3:$G$55),PRODUCT(LOOKUP(B163,'Gem types'!$B$3:$B$55,'Gem types'!$G$3:$G$55),LOOKUP(C163,'Gem types'!$I$3:$I$29,'Gem types'!$J$3:$J$29)))</f>
        <v>5</v>
      </c>
      <c r="E163" s="98">
        <f t="shared" si="21"/>
      </c>
      <c r="F163" s="213">
        <f>IF(E163="","",LOOKUP(B163,'Gem types'!B3:C55,'Gem types'!C3:C55))</f>
      </c>
      <c r="G163" s="213"/>
      <c r="H163" s="213"/>
      <c r="I163" s="213"/>
      <c r="J163" s="213"/>
      <c r="K163" s="213"/>
      <c r="L163" s="213"/>
      <c r="M163" s="213"/>
      <c r="N163" s="213"/>
      <c r="O163" s="213">
        <f>IF(E163="","",LOOKUP(B163,'Gem types'!$B$3:$C$55,'Gem types'!$D$3:$D$55))</f>
      </c>
      <c r="P163" s="213"/>
      <c r="Q163" s="213"/>
      <c r="R163" s="213"/>
      <c r="S163" s="213"/>
      <c r="T163" s="213"/>
      <c r="U163" s="213"/>
      <c r="V163" s="213"/>
      <c r="W163" s="213"/>
      <c r="X163" s="213">
        <f>IF(E163="","",LOOKUP(B163,'Gem types'!$B$3:$C$55,'Gem types'!$F$3:$F$55))</f>
      </c>
      <c r="Y163" s="213"/>
      <c r="Z163" s="213"/>
      <c r="AA163" s="213"/>
      <c r="AB163" s="213"/>
      <c r="AC163" s="213"/>
      <c r="AD163" s="213"/>
      <c r="AE163" s="213"/>
      <c r="AF163" s="215">
        <f t="shared" si="22"/>
      </c>
      <c r="AG163" s="213"/>
      <c r="AH163" s="213"/>
      <c r="AI163" s="213"/>
      <c r="AJ163" s="215">
        <f>IF(F163="","",LOOKUP(C163,'Gem types'!$I$3:$I$29,'Gem types'!$K$3:$K$29))</f>
      </c>
      <c r="AK163" s="215"/>
      <c r="AL163" s="215"/>
      <c r="AM163" s="215"/>
      <c r="AN163" s="215">
        <f>IF(F163="","",LOOKUP(C163,'Gem types'!$I$3:$I$29,'Gem types'!$L$3:$L$29))</f>
      </c>
      <c r="AO163" s="215"/>
      <c r="AP163" s="215"/>
      <c r="AQ163" s="215"/>
      <c r="AS163" s="219">
        <f t="shared" si="20"/>
      </c>
      <c r="AT163" s="219"/>
    </row>
    <row r="164" spans="1:46" s="99" customFormat="1" ht="21" customHeight="1">
      <c r="A164" s="127">
        <f>'Treasurer Creator'!AC30</f>
        <v>0</v>
      </c>
      <c r="B164" s="127">
        <f aca="true" ca="1" t="shared" si="23" ref="B164:B195">RANDBETWEEN(1,53)</f>
        <v>44</v>
      </c>
      <c r="C164" s="128">
        <f aca="true" ca="1" t="shared" si="24" ref="C164:C195">RANDBETWEEN(1,27)</f>
        <v>11</v>
      </c>
      <c r="D164" s="128">
        <f>SUM(LOOKUP(B164,'Gem types'!$B$3:$B$55,'Gem types'!$G$3:$G$55),PRODUCT(LOOKUP(B164,'Gem types'!$B$3:$B$55,'Gem types'!$G$3:$G$55),LOOKUP(C164,'Gem types'!$I$3:$I$29,'Gem types'!$J$3:$J$29)))</f>
        <v>1300</v>
      </c>
      <c r="E164" s="98">
        <f t="shared" si="21"/>
      </c>
      <c r="F164" s="213">
        <f>IF(E164="","",LOOKUP(B164,'Gem types'!B3:C55,'Gem types'!C3:C55))</f>
      </c>
      <c r="G164" s="213"/>
      <c r="H164" s="213"/>
      <c r="I164" s="213"/>
      <c r="J164" s="213"/>
      <c r="K164" s="213"/>
      <c r="L164" s="213"/>
      <c r="M164" s="213"/>
      <c r="N164" s="213"/>
      <c r="O164" s="213">
        <f>IF(E164="","",LOOKUP(B164,'Gem types'!$B$3:$C$55,'Gem types'!$D$3:$D$55))</f>
      </c>
      <c r="P164" s="213"/>
      <c r="Q164" s="213"/>
      <c r="R164" s="213"/>
      <c r="S164" s="213"/>
      <c r="T164" s="213"/>
      <c r="U164" s="213"/>
      <c r="V164" s="213"/>
      <c r="W164" s="213"/>
      <c r="X164" s="213">
        <f>IF(E164="","",LOOKUP(B164,'Gem types'!$B$3:$C$55,'Gem types'!$F$3:$F$55))</f>
      </c>
      <c r="Y164" s="213"/>
      <c r="Z164" s="213"/>
      <c r="AA164" s="213"/>
      <c r="AB164" s="213"/>
      <c r="AC164" s="213"/>
      <c r="AD164" s="213"/>
      <c r="AE164" s="213"/>
      <c r="AF164" s="215">
        <f t="shared" si="22"/>
      </c>
      <c r="AG164" s="213"/>
      <c r="AH164" s="213"/>
      <c r="AI164" s="213"/>
      <c r="AJ164" s="215">
        <f>IF(F164="","",LOOKUP(C164,'Gem types'!$I$3:$I$29,'Gem types'!$K$3:$K$29))</f>
      </c>
      <c r="AK164" s="215"/>
      <c r="AL164" s="215"/>
      <c r="AM164" s="215"/>
      <c r="AN164" s="215">
        <f>IF(F164="","",LOOKUP(C164,'Gem types'!$I$3:$I$29,'Gem types'!$L$3:$L$29))</f>
      </c>
      <c r="AO164" s="215"/>
      <c r="AP164" s="215"/>
      <c r="AQ164" s="215"/>
      <c r="AS164" s="219">
        <f aca="true" t="shared" si="25" ref="AS164:AS195">IF(E164="","",ROUNDUP(D164,0))</f>
      </c>
      <c r="AT164" s="219"/>
    </row>
    <row r="165" spans="1:46" s="99" customFormat="1" ht="21" customHeight="1">
      <c r="A165" s="127">
        <f>'Treasurer Creator'!AC30</f>
        <v>0</v>
      </c>
      <c r="B165" s="127">
        <f ca="1" t="shared" si="23"/>
        <v>13</v>
      </c>
      <c r="C165" s="128">
        <f ca="1" t="shared" si="24"/>
        <v>9</v>
      </c>
      <c r="D165" s="128">
        <f>SUM(LOOKUP(B165,'Gem types'!$B$3:$B$55,'Gem types'!$G$3:$G$55),PRODUCT(LOOKUP(B165,'Gem types'!$B$3:$B$55,'Gem types'!$G$3:$G$55),LOOKUP(C165,'Gem types'!$I$3:$I$29,'Gem types'!$J$3:$J$29)))</f>
        <v>55</v>
      </c>
      <c r="E165" s="98">
        <f aca="true" t="shared" si="26" ref="E165:E196">IF(A165&gt;E164,SUM(E164+1),"")</f>
      </c>
      <c r="F165" s="213">
        <f>IF(E165="","",LOOKUP(B165,'Gem types'!B3:C55,'Gem types'!C3:C55))</f>
      </c>
      <c r="G165" s="213"/>
      <c r="H165" s="213"/>
      <c r="I165" s="213"/>
      <c r="J165" s="213"/>
      <c r="K165" s="213"/>
      <c r="L165" s="213"/>
      <c r="M165" s="213"/>
      <c r="N165" s="213"/>
      <c r="O165" s="213">
        <f>IF(E165="","",LOOKUP(B165,'Gem types'!$B$3:$C$55,'Gem types'!$D$3:$D$55))</f>
      </c>
      <c r="P165" s="213"/>
      <c r="Q165" s="213"/>
      <c r="R165" s="213"/>
      <c r="S165" s="213"/>
      <c r="T165" s="213"/>
      <c r="U165" s="213"/>
      <c r="V165" s="213"/>
      <c r="W165" s="213"/>
      <c r="X165" s="213">
        <f>IF(E165="","",LOOKUP(B165,'Gem types'!$B$3:$C$55,'Gem types'!$F$3:$F$55))</f>
      </c>
      <c r="Y165" s="213"/>
      <c r="Z165" s="213"/>
      <c r="AA165" s="213"/>
      <c r="AB165" s="213"/>
      <c r="AC165" s="213"/>
      <c r="AD165" s="213"/>
      <c r="AE165" s="213"/>
      <c r="AF165" s="215">
        <f t="shared" si="22"/>
      </c>
      <c r="AG165" s="213"/>
      <c r="AH165" s="213"/>
      <c r="AI165" s="213"/>
      <c r="AJ165" s="215">
        <f>IF(F165="","",LOOKUP(C165,'Gem types'!$I$3:$I$29,'Gem types'!$K$3:$K$29))</f>
      </c>
      <c r="AK165" s="215"/>
      <c r="AL165" s="215"/>
      <c r="AM165" s="215"/>
      <c r="AN165" s="215">
        <f>IF(F165="","",LOOKUP(C165,'Gem types'!$I$3:$I$29,'Gem types'!$L$3:$L$29))</f>
      </c>
      <c r="AO165" s="215"/>
      <c r="AP165" s="215"/>
      <c r="AQ165" s="215"/>
      <c r="AS165" s="219">
        <f t="shared" si="25"/>
      </c>
      <c r="AT165" s="219"/>
    </row>
    <row r="166" spans="1:46" s="99" customFormat="1" ht="21" customHeight="1">
      <c r="A166" s="127">
        <f>'Treasurer Creator'!AC30</f>
        <v>0</v>
      </c>
      <c r="B166" s="127">
        <f ca="1" t="shared" si="23"/>
        <v>19</v>
      </c>
      <c r="C166" s="128">
        <f ca="1" t="shared" si="24"/>
        <v>22</v>
      </c>
      <c r="D166" s="128">
        <f>SUM(LOOKUP(B166,'Gem types'!$B$3:$B$55,'Gem types'!$G$3:$G$55),PRODUCT(LOOKUP(B166,'Gem types'!$B$3:$B$55,'Gem types'!$G$3:$G$55),LOOKUP(C166,'Gem types'!$I$3:$I$29,'Gem types'!$J$3:$J$29)))</f>
        <v>35</v>
      </c>
      <c r="E166" s="98">
        <f t="shared" si="26"/>
      </c>
      <c r="F166" s="213">
        <f>IF(E166="","",LOOKUP(B166,'Gem types'!B3:C55,'Gem types'!C3:C55))</f>
      </c>
      <c r="G166" s="213"/>
      <c r="H166" s="213"/>
      <c r="I166" s="213"/>
      <c r="J166" s="213"/>
      <c r="K166" s="213"/>
      <c r="L166" s="213"/>
      <c r="M166" s="213"/>
      <c r="N166" s="213"/>
      <c r="O166" s="213">
        <f>IF(E166="","",LOOKUP(B166,'Gem types'!$B$3:$C$55,'Gem types'!$D$3:$D$55))</f>
      </c>
      <c r="P166" s="213"/>
      <c r="Q166" s="213"/>
      <c r="R166" s="213"/>
      <c r="S166" s="213"/>
      <c r="T166" s="213"/>
      <c r="U166" s="213"/>
      <c r="V166" s="213"/>
      <c r="W166" s="213"/>
      <c r="X166" s="213">
        <f>IF(E166="","",LOOKUP(B166,'Gem types'!$B$3:$C$55,'Gem types'!$F$3:$F$55))</f>
      </c>
      <c r="Y166" s="213"/>
      <c r="Z166" s="213"/>
      <c r="AA166" s="213"/>
      <c r="AB166" s="213"/>
      <c r="AC166" s="213"/>
      <c r="AD166" s="213"/>
      <c r="AE166" s="213"/>
      <c r="AF166" s="215">
        <f t="shared" si="22"/>
      </c>
      <c r="AG166" s="213"/>
      <c r="AH166" s="213"/>
      <c r="AI166" s="213"/>
      <c r="AJ166" s="215">
        <f>IF(F166="","",LOOKUP(C166,'Gem types'!$I$3:$I$29,'Gem types'!$K$3:$K$29))</f>
      </c>
      <c r="AK166" s="215"/>
      <c r="AL166" s="215"/>
      <c r="AM166" s="215"/>
      <c r="AN166" s="215">
        <f>IF(F166="","",LOOKUP(C166,'Gem types'!$I$3:$I$29,'Gem types'!$L$3:$L$29))</f>
      </c>
      <c r="AO166" s="215"/>
      <c r="AP166" s="215"/>
      <c r="AQ166" s="215"/>
      <c r="AS166" s="219">
        <f t="shared" si="25"/>
      </c>
      <c r="AT166" s="219"/>
    </row>
    <row r="167" spans="1:46" s="99" customFormat="1" ht="21" customHeight="1">
      <c r="A167" s="127">
        <f>'Treasurer Creator'!AC30</f>
        <v>0</v>
      </c>
      <c r="B167" s="127">
        <f ca="1" t="shared" si="23"/>
        <v>29</v>
      </c>
      <c r="C167" s="128">
        <f ca="1" t="shared" si="24"/>
        <v>22</v>
      </c>
      <c r="D167" s="128">
        <f>SUM(LOOKUP(B167,'Gem types'!$B$3:$B$55,'Gem types'!$G$3:$G$55),PRODUCT(LOOKUP(B167,'Gem types'!$B$3:$B$55,'Gem types'!$G$3:$G$55),LOOKUP(C167,'Gem types'!$I$3:$I$29,'Gem types'!$J$3:$J$29)))</f>
        <v>175</v>
      </c>
      <c r="E167" s="98">
        <f t="shared" si="26"/>
      </c>
      <c r="F167" s="213">
        <f>IF(E167="","",LOOKUP(B167,'Gem types'!B3:C55,'Gem types'!C3:C55))</f>
      </c>
      <c r="G167" s="213"/>
      <c r="H167" s="213"/>
      <c r="I167" s="213"/>
      <c r="J167" s="213"/>
      <c r="K167" s="213"/>
      <c r="L167" s="213"/>
      <c r="M167" s="213"/>
      <c r="N167" s="213"/>
      <c r="O167" s="213">
        <f>IF(E167="","",LOOKUP(B167,'Gem types'!$B$3:$C$55,'Gem types'!$D$3:$D$55))</f>
      </c>
      <c r="P167" s="213"/>
      <c r="Q167" s="213"/>
      <c r="R167" s="213"/>
      <c r="S167" s="213"/>
      <c r="T167" s="213"/>
      <c r="U167" s="213"/>
      <c r="V167" s="213"/>
      <c r="W167" s="213"/>
      <c r="X167" s="213">
        <f>IF(E167="","",LOOKUP(B167,'Gem types'!$B$3:$C$55,'Gem types'!$F$3:$F$55))</f>
      </c>
      <c r="Y167" s="213"/>
      <c r="Z167" s="213"/>
      <c r="AA167" s="213"/>
      <c r="AB167" s="213"/>
      <c r="AC167" s="213"/>
      <c r="AD167" s="213"/>
      <c r="AE167" s="213"/>
      <c r="AF167" s="215">
        <f t="shared" si="22"/>
      </c>
      <c r="AG167" s="213"/>
      <c r="AH167" s="213"/>
      <c r="AI167" s="213"/>
      <c r="AJ167" s="215">
        <f>IF(F167="","",LOOKUP(C167,'Gem types'!$I$3:$I$29,'Gem types'!$K$3:$K$29))</f>
      </c>
      <c r="AK167" s="215"/>
      <c r="AL167" s="215"/>
      <c r="AM167" s="215"/>
      <c r="AN167" s="215">
        <f>IF(F167="","",LOOKUP(C167,'Gem types'!$I$3:$I$29,'Gem types'!$L$3:$L$29))</f>
      </c>
      <c r="AO167" s="215"/>
      <c r="AP167" s="215"/>
      <c r="AQ167" s="215"/>
      <c r="AS167" s="219">
        <f t="shared" si="25"/>
      </c>
      <c r="AT167" s="219"/>
    </row>
    <row r="168" spans="1:46" s="99" customFormat="1" ht="21" customHeight="1">
      <c r="A168" s="127">
        <f>'Treasurer Creator'!AC30</f>
        <v>0</v>
      </c>
      <c r="B168" s="127">
        <f ca="1" t="shared" si="23"/>
        <v>3</v>
      </c>
      <c r="C168" s="128">
        <f ca="1" t="shared" si="24"/>
        <v>3</v>
      </c>
      <c r="D168" s="128">
        <f>SUM(LOOKUP(B168,'Gem types'!$B$3:$B$55,'Gem types'!$G$3:$G$55),PRODUCT(LOOKUP(B168,'Gem types'!$B$3:$B$55,'Gem types'!$G$3:$G$55),LOOKUP(C168,'Gem types'!$I$3:$I$29,'Gem types'!$J$3:$J$29)))</f>
        <v>60</v>
      </c>
      <c r="E168" s="98">
        <f t="shared" si="26"/>
      </c>
      <c r="F168" s="213">
        <f>IF(E168="","",LOOKUP(B168,'Gem types'!B3:C55,'Gem types'!C3:C55))</f>
      </c>
      <c r="G168" s="213"/>
      <c r="H168" s="213"/>
      <c r="I168" s="213"/>
      <c r="J168" s="213"/>
      <c r="K168" s="213"/>
      <c r="L168" s="213"/>
      <c r="M168" s="213"/>
      <c r="N168" s="213"/>
      <c r="O168" s="213">
        <f>IF(E168="","",LOOKUP(B168,'Gem types'!$B$3:$C$55,'Gem types'!$D$3:$D$55))</f>
      </c>
      <c r="P168" s="213"/>
      <c r="Q168" s="213"/>
      <c r="R168" s="213"/>
      <c r="S168" s="213"/>
      <c r="T168" s="213"/>
      <c r="U168" s="213"/>
      <c r="V168" s="213"/>
      <c r="W168" s="213"/>
      <c r="X168" s="213">
        <f>IF(E168="","",LOOKUP(B168,'Gem types'!$B$3:$C$55,'Gem types'!$F$3:$F$55))</f>
      </c>
      <c r="Y168" s="213"/>
      <c r="Z168" s="213"/>
      <c r="AA168" s="213"/>
      <c r="AB168" s="213"/>
      <c r="AC168" s="213"/>
      <c r="AD168" s="213"/>
      <c r="AE168" s="213"/>
      <c r="AF168" s="215">
        <f t="shared" si="22"/>
      </c>
      <c r="AG168" s="213"/>
      <c r="AH168" s="213"/>
      <c r="AI168" s="213"/>
      <c r="AJ168" s="215">
        <f>IF(F168="","",LOOKUP(C168,'Gem types'!$I$3:$I$29,'Gem types'!$K$3:$K$29))</f>
      </c>
      <c r="AK168" s="215"/>
      <c r="AL168" s="215"/>
      <c r="AM168" s="215"/>
      <c r="AN168" s="215">
        <f>IF(F168="","",LOOKUP(C168,'Gem types'!$I$3:$I$29,'Gem types'!$L$3:$L$29))</f>
      </c>
      <c r="AO168" s="215"/>
      <c r="AP168" s="215"/>
      <c r="AQ168" s="215"/>
      <c r="AS168" s="219">
        <f t="shared" si="25"/>
      </c>
      <c r="AT168" s="219"/>
    </row>
    <row r="169" spans="1:46" s="99" customFormat="1" ht="21" customHeight="1">
      <c r="A169" s="127">
        <f>'Treasurer Creator'!AC30</f>
        <v>0</v>
      </c>
      <c r="B169" s="127">
        <f ca="1" t="shared" si="23"/>
        <v>25</v>
      </c>
      <c r="C169" s="128">
        <f ca="1" t="shared" si="24"/>
        <v>4</v>
      </c>
      <c r="D169" s="128">
        <f>SUM(LOOKUP(B169,'Gem types'!$B$3:$B$55,'Gem types'!$G$3:$G$55),PRODUCT(LOOKUP(B169,'Gem types'!$B$3:$B$55,'Gem types'!$G$3:$G$55),LOOKUP(C169,'Gem types'!$I$3:$I$29,'Gem types'!$J$3:$J$29)))</f>
        <v>300</v>
      </c>
      <c r="E169" s="98">
        <f t="shared" si="26"/>
      </c>
      <c r="F169" s="213">
        <f>IF(E169="","",LOOKUP(B169,'Gem types'!B3:C55,'Gem types'!C3:C55))</f>
      </c>
      <c r="G169" s="213"/>
      <c r="H169" s="213"/>
      <c r="I169" s="213"/>
      <c r="J169" s="213"/>
      <c r="K169" s="213"/>
      <c r="L169" s="213"/>
      <c r="M169" s="213"/>
      <c r="N169" s="213"/>
      <c r="O169" s="213">
        <f>IF(E169="","",LOOKUP(B169,'Gem types'!$B$3:$C$55,'Gem types'!$D$3:$D$55))</f>
      </c>
      <c r="P169" s="213"/>
      <c r="Q169" s="213"/>
      <c r="R169" s="213"/>
      <c r="S169" s="213"/>
      <c r="T169" s="213"/>
      <c r="U169" s="213"/>
      <c r="V169" s="213"/>
      <c r="W169" s="213"/>
      <c r="X169" s="213">
        <f>IF(E169="","",LOOKUP(B169,'Gem types'!$B$3:$C$55,'Gem types'!$F$3:$F$55))</f>
      </c>
      <c r="Y169" s="213"/>
      <c r="Z169" s="213"/>
      <c r="AA169" s="213"/>
      <c r="AB169" s="213"/>
      <c r="AC169" s="213"/>
      <c r="AD169" s="213"/>
      <c r="AE169" s="213"/>
      <c r="AF169" s="215">
        <f t="shared" si="22"/>
      </c>
      <c r="AG169" s="213"/>
      <c r="AH169" s="213"/>
      <c r="AI169" s="213"/>
      <c r="AJ169" s="215">
        <f>IF(F169="","",LOOKUP(C169,'Gem types'!$I$3:$I$29,'Gem types'!$K$3:$K$29))</f>
      </c>
      <c r="AK169" s="215"/>
      <c r="AL169" s="215"/>
      <c r="AM169" s="215"/>
      <c r="AN169" s="215">
        <f>IF(F169="","",LOOKUP(C169,'Gem types'!$I$3:$I$29,'Gem types'!$L$3:$L$29))</f>
      </c>
      <c r="AO169" s="215"/>
      <c r="AP169" s="215"/>
      <c r="AQ169" s="215"/>
      <c r="AS169" s="219">
        <f t="shared" si="25"/>
      </c>
      <c r="AT169" s="219"/>
    </row>
    <row r="170" spans="1:46" s="99" customFormat="1" ht="21" customHeight="1">
      <c r="A170" s="127">
        <f>'Treasurer Creator'!AC30</f>
        <v>0</v>
      </c>
      <c r="B170" s="127">
        <f ca="1" t="shared" si="23"/>
        <v>27</v>
      </c>
      <c r="C170" s="128">
        <f ca="1" t="shared" si="24"/>
        <v>7</v>
      </c>
      <c r="D170" s="128">
        <f>SUM(LOOKUP(B170,'Gem types'!$B$3:$B$55,'Gem types'!$G$3:$G$55),PRODUCT(LOOKUP(B170,'Gem types'!$B$3:$B$55,'Gem types'!$G$3:$G$55),LOOKUP(C170,'Gem types'!$I$3:$I$29,'Gem types'!$J$3:$J$29)))</f>
        <v>300</v>
      </c>
      <c r="E170" s="98">
        <f t="shared" si="26"/>
      </c>
      <c r="F170" s="213">
        <f>IF(E170="","",LOOKUP(B170,'Gem types'!B3:C55,'Gem types'!C3:C55))</f>
      </c>
      <c r="G170" s="213"/>
      <c r="H170" s="213"/>
      <c r="I170" s="213"/>
      <c r="J170" s="213"/>
      <c r="K170" s="213"/>
      <c r="L170" s="213"/>
      <c r="M170" s="213"/>
      <c r="N170" s="213"/>
      <c r="O170" s="213">
        <f>IF(E170="","",LOOKUP(B170,'Gem types'!$B$3:$C$55,'Gem types'!$D$3:$D$55))</f>
      </c>
      <c r="P170" s="213"/>
      <c r="Q170" s="213"/>
      <c r="R170" s="213"/>
      <c r="S170" s="213"/>
      <c r="T170" s="213"/>
      <c r="U170" s="213"/>
      <c r="V170" s="213"/>
      <c r="W170" s="213"/>
      <c r="X170" s="213">
        <f>IF(E170="","",LOOKUP(B170,'Gem types'!$B$3:$C$55,'Gem types'!$F$3:$F$55))</f>
      </c>
      <c r="Y170" s="213"/>
      <c r="Z170" s="213"/>
      <c r="AA170" s="213"/>
      <c r="AB170" s="213"/>
      <c r="AC170" s="213"/>
      <c r="AD170" s="213"/>
      <c r="AE170" s="213"/>
      <c r="AF170" s="215">
        <f t="shared" si="22"/>
      </c>
      <c r="AG170" s="213"/>
      <c r="AH170" s="213"/>
      <c r="AI170" s="213"/>
      <c r="AJ170" s="215">
        <f>IF(F170="","",LOOKUP(C170,'Gem types'!$I$3:$I$29,'Gem types'!$K$3:$K$29))</f>
      </c>
      <c r="AK170" s="215"/>
      <c r="AL170" s="215"/>
      <c r="AM170" s="215"/>
      <c r="AN170" s="215">
        <f>IF(F170="","",LOOKUP(C170,'Gem types'!$I$3:$I$29,'Gem types'!$L$3:$L$29))</f>
      </c>
      <c r="AO170" s="215"/>
      <c r="AP170" s="215"/>
      <c r="AQ170" s="215"/>
      <c r="AS170" s="219">
        <f t="shared" si="25"/>
      </c>
      <c r="AT170" s="219"/>
    </row>
    <row r="171" spans="1:46" s="99" customFormat="1" ht="21" customHeight="1">
      <c r="A171" s="127">
        <f>'Treasurer Creator'!AC30</f>
        <v>0</v>
      </c>
      <c r="B171" s="127">
        <f ca="1" t="shared" si="23"/>
        <v>46</v>
      </c>
      <c r="C171" s="128">
        <f ca="1" t="shared" si="24"/>
        <v>10</v>
      </c>
      <c r="D171" s="128">
        <f>SUM(LOOKUP(B171,'Gem types'!$B$3:$B$55,'Gem types'!$G$3:$G$55),PRODUCT(LOOKUP(B171,'Gem types'!$B$3:$B$55,'Gem types'!$G$3:$G$55),LOOKUP(C171,'Gem types'!$I$3:$I$29,'Gem types'!$J$3:$J$29)))</f>
        <v>1200</v>
      </c>
      <c r="E171" s="98">
        <f t="shared" si="26"/>
      </c>
      <c r="F171" s="213">
        <f>IF(E171="","",LOOKUP(B171,'Gem types'!B3:C55,'Gem types'!C3:C55))</f>
      </c>
      <c r="G171" s="213"/>
      <c r="H171" s="213"/>
      <c r="I171" s="213"/>
      <c r="J171" s="213"/>
      <c r="K171" s="213"/>
      <c r="L171" s="213"/>
      <c r="M171" s="213"/>
      <c r="N171" s="213"/>
      <c r="O171" s="213">
        <f>IF(E171="","",LOOKUP(B171,'Gem types'!$B$3:$C$55,'Gem types'!$D$3:$D$55))</f>
      </c>
      <c r="P171" s="213"/>
      <c r="Q171" s="213"/>
      <c r="R171" s="213"/>
      <c r="S171" s="213"/>
      <c r="T171" s="213"/>
      <c r="U171" s="213"/>
      <c r="V171" s="213"/>
      <c r="W171" s="213"/>
      <c r="X171" s="213">
        <f>IF(E171="","",LOOKUP(B171,'Gem types'!$B$3:$C$55,'Gem types'!$F$3:$F$55))</f>
      </c>
      <c r="Y171" s="213"/>
      <c r="Z171" s="213"/>
      <c r="AA171" s="213"/>
      <c r="AB171" s="213"/>
      <c r="AC171" s="213"/>
      <c r="AD171" s="213"/>
      <c r="AE171" s="213"/>
      <c r="AF171" s="215">
        <f t="shared" si="22"/>
      </c>
      <c r="AG171" s="213"/>
      <c r="AH171" s="213"/>
      <c r="AI171" s="213"/>
      <c r="AJ171" s="215">
        <f>IF(F171="","",LOOKUP(C171,'Gem types'!$I$3:$I$29,'Gem types'!$K$3:$K$29))</f>
      </c>
      <c r="AK171" s="215"/>
      <c r="AL171" s="215"/>
      <c r="AM171" s="215"/>
      <c r="AN171" s="215">
        <f>IF(F171="","",LOOKUP(C171,'Gem types'!$I$3:$I$29,'Gem types'!$L$3:$L$29))</f>
      </c>
      <c r="AO171" s="215"/>
      <c r="AP171" s="215"/>
      <c r="AQ171" s="215"/>
      <c r="AS171" s="219">
        <f t="shared" si="25"/>
      </c>
      <c r="AT171" s="219"/>
    </row>
    <row r="172" spans="1:46" s="99" customFormat="1" ht="21" customHeight="1">
      <c r="A172" s="127">
        <f>'Treasurer Creator'!AC30</f>
        <v>0</v>
      </c>
      <c r="B172" s="127">
        <f ca="1" t="shared" si="23"/>
        <v>44</v>
      </c>
      <c r="C172" s="128">
        <f ca="1" t="shared" si="24"/>
        <v>14</v>
      </c>
      <c r="D172" s="128">
        <f>SUM(LOOKUP(B172,'Gem types'!$B$3:$B$55,'Gem types'!$G$3:$G$55),PRODUCT(LOOKUP(B172,'Gem types'!$B$3:$B$55,'Gem types'!$G$3:$G$55),LOOKUP(C172,'Gem types'!$I$3:$I$29,'Gem types'!$J$3:$J$29)))</f>
        <v>1600</v>
      </c>
      <c r="E172" s="98">
        <f t="shared" si="26"/>
      </c>
      <c r="F172" s="213">
        <f>IF(E172="","",LOOKUP(B172,'Gem types'!B3:C55,'Gem types'!C3:C55))</f>
      </c>
      <c r="G172" s="213"/>
      <c r="H172" s="213"/>
      <c r="I172" s="213"/>
      <c r="J172" s="213"/>
      <c r="K172" s="213"/>
      <c r="L172" s="213"/>
      <c r="M172" s="213"/>
      <c r="N172" s="213"/>
      <c r="O172" s="213">
        <f>IF(E172="","",LOOKUP(B172,'Gem types'!$B$3:$C$55,'Gem types'!$D$3:$D$55))</f>
      </c>
      <c r="P172" s="213"/>
      <c r="Q172" s="213"/>
      <c r="R172" s="213"/>
      <c r="S172" s="213"/>
      <c r="T172" s="213"/>
      <c r="U172" s="213"/>
      <c r="V172" s="213"/>
      <c r="W172" s="213"/>
      <c r="X172" s="213">
        <f>IF(E172="","",LOOKUP(B172,'Gem types'!$B$3:$C$55,'Gem types'!$F$3:$F$55))</f>
      </c>
      <c r="Y172" s="213"/>
      <c r="Z172" s="213"/>
      <c r="AA172" s="213"/>
      <c r="AB172" s="213"/>
      <c r="AC172" s="213"/>
      <c r="AD172" s="213"/>
      <c r="AE172" s="213"/>
      <c r="AF172" s="215">
        <f t="shared" si="22"/>
      </c>
      <c r="AG172" s="213"/>
      <c r="AH172" s="213"/>
      <c r="AI172" s="213"/>
      <c r="AJ172" s="215">
        <f>IF(F172="","",LOOKUP(C172,'Gem types'!$I$3:$I$29,'Gem types'!$K$3:$K$29))</f>
      </c>
      <c r="AK172" s="215"/>
      <c r="AL172" s="215"/>
      <c r="AM172" s="215"/>
      <c r="AN172" s="215">
        <f>IF(F172="","",LOOKUP(C172,'Gem types'!$I$3:$I$29,'Gem types'!$L$3:$L$29))</f>
      </c>
      <c r="AO172" s="215"/>
      <c r="AP172" s="215"/>
      <c r="AQ172" s="215"/>
      <c r="AS172" s="219">
        <f t="shared" si="25"/>
      </c>
      <c r="AT172" s="219"/>
    </row>
    <row r="173" spans="1:46" s="99" customFormat="1" ht="21" customHeight="1">
      <c r="A173" s="127">
        <f>'Treasurer Creator'!AC30</f>
        <v>0</v>
      </c>
      <c r="B173" s="127">
        <f ca="1" t="shared" si="23"/>
        <v>22</v>
      </c>
      <c r="C173" s="128">
        <f ca="1" t="shared" si="24"/>
        <v>27</v>
      </c>
      <c r="D173" s="128">
        <f>SUM(LOOKUP(B173,'Gem types'!$B$3:$B$55,'Gem types'!$G$3:$G$55),PRODUCT(LOOKUP(B173,'Gem types'!$B$3:$B$55,'Gem types'!$G$3:$G$55),LOOKUP(C173,'Gem types'!$I$3:$I$29,'Gem types'!$J$3:$J$29)))</f>
        <v>10</v>
      </c>
      <c r="E173" s="98">
        <f t="shared" si="26"/>
      </c>
      <c r="F173" s="213">
        <f>IF(E173="","",LOOKUP(B173,'Gem types'!B3:C55,'Gem types'!C3:C55))</f>
      </c>
      <c r="G173" s="213"/>
      <c r="H173" s="213"/>
      <c r="I173" s="213"/>
      <c r="J173" s="213"/>
      <c r="K173" s="213"/>
      <c r="L173" s="213"/>
      <c r="M173" s="213"/>
      <c r="N173" s="213"/>
      <c r="O173" s="213">
        <f>IF(E173="","",LOOKUP(B173,'Gem types'!$B$3:$C$55,'Gem types'!$D$3:$D$55))</f>
      </c>
      <c r="P173" s="213"/>
      <c r="Q173" s="213"/>
      <c r="R173" s="213"/>
      <c r="S173" s="213"/>
      <c r="T173" s="213"/>
      <c r="U173" s="213"/>
      <c r="V173" s="213"/>
      <c r="W173" s="213"/>
      <c r="X173" s="213">
        <f>IF(E173="","",LOOKUP(B173,'Gem types'!$B$3:$C$55,'Gem types'!$F$3:$F$55))</f>
      </c>
      <c r="Y173" s="213"/>
      <c r="Z173" s="213"/>
      <c r="AA173" s="213"/>
      <c r="AB173" s="213"/>
      <c r="AC173" s="213"/>
      <c r="AD173" s="213"/>
      <c r="AE173" s="213"/>
      <c r="AF173" s="215">
        <f t="shared" si="22"/>
      </c>
      <c r="AG173" s="213"/>
      <c r="AH173" s="213"/>
      <c r="AI173" s="213"/>
      <c r="AJ173" s="215">
        <f>IF(F173="","",LOOKUP(C173,'Gem types'!$I$3:$I$29,'Gem types'!$K$3:$K$29))</f>
      </c>
      <c r="AK173" s="215"/>
      <c r="AL173" s="215"/>
      <c r="AM173" s="215"/>
      <c r="AN173" s="215">
        <f>IF(F173="","",LOOKUP(C173,'Gem types'!$I$3:$I$29,'Gem types'!$L$3:$L$29))</f>
      </c>
      <c r="AO173" s="215"/>
      <c r="AP173" s="215"/>
      <c r="AQ173" s="215"/>
      <c r="AS173" s="219">
        <f t="shared" si="25"/>
      </c>
      <c r="AT173" s="219"/>
    </row>
    <row r="174" spans="1:46" s="99" customFormat="1" ht="21" customHeight="1">
      <c r="A174" s="127">
        <f>'Treasurer Creator'!AC30</f>
        <v>0</v>
      </c>
      <c r="B174" s="127">
        <f ca="1" t="shared" si="23"/>
        <v>34</v>
      </c>
      <c r="C174" s="128">
        <f ca="1" t="shared" si="24"/>
        <v>8</v>
      </c>
      <c r="D174" s="128">
        <f>SUM(LOOKUP(B174,'Gem types'!$B$3:$B$55,'Gem types'!$G$3:$G$55),PRODUCT(LOOKUP(B174,'Gem types'!$B$3:$B$55,'Gem types'!$G$3:$G$55),LOOKUP(C174,'Gem types'!$I$3:$I$29,'Gem types'!$J$3:$J$29)))</f>
        <v>300</v>
      </c>
      <c r="E174" s="98">
        <f t="shared" si="26"/>
      </c>
      <c r="F174" s="213">
        <f>IF(E174="","",LOOKUP(B174,'Gem types'!B3:C55,'Gem types'!C3:C55))</f>
      </c>
      <c r="G174" s="213"/>
      <c r="H174" s="213"/>
      <c r="I174" s="213"/>
      <c r="J174" s="213"/>
      <c r="K174" s="213"/>
      <c r="L174" s="213"/>
      <c r="M174" s="213"/>
      <c r="N174" s="213"/>
      <c r="O174" s="213">
        <f>IF(E174="","",LOOKUP(B174,'Gem types'!$B$3:$C$55,'Gem types'!$D$3:$D$55))</f>
      </c>
      <c r="P174" s="213"/>
      <c r="Q174" s="213"/>
      <c r="R174" s="213"/>
      <c r="S174" s="213"/>
      <c r="T174" s="213"/>
      <c r="U174" s="213"/>
      <c r="V174" s="213"/>
      <c r="W174" s="213"/>
      <c r="X174" s="213">
        <f>IF(E174="","",LOOKUP(B174,'Gem types'!$B$3:$C$55,'Gem types'!$F$3:$F$55))</f>
      </c>
      <c r="Y174" s="213"/>
      <c r="Z174" s="213"/>
      <c r="AA174" s="213"/>
      <c r="AB174" s="213"/>
      <c r="AC174" s="213"/>
      <c r="AD174" s="213"/>
      <c r="AE174" s="213"/>
      <c r="AF174" s="215">
        <f t="shared" si="22"/>
      </c>
      <c r="AG174" s="213"/>
      <c r="AH174" s="213"/>
      <c r="AI174" s="213"/>
      <c r="AJ174" s="215">
        <f>IF(F174="","",LOOKUP(C174,'Gem types'!$I$3:$I$29,'Gem types'!$K$3:$K$29))</f>
      </c>
      <c r="AK174" s="215"/>
      <c r="AL174" s="215"/>
      <c r="AM174" s="215"/>
      <c r="AN174" s="215">
        <f>IF(F174="","",LOOKUP(C174,'Gem types'!$I$3:$I$29,'Gem types'!$L$3:$L$29))</f>
      </c>
      <c r="AO174" s="215"/>
      <c r="AP174" s="215"/>
      <c r="AQ174" s="215"/>
      <c r="AS174" s="219">
        <f t="shared" si="25"/>
      </c>
      <c r="AT174" s="219"/>
    </row>
    <row r="175" spans="1:46" s="99" customFormat="1" ht="21" customHeight="1">
      <c r="A175" s="127">
        <f>'Treasurer Creator'!AC30</f>
        <v>0</v>
      </c>
      <c r="B175" s="127">
        <f ca="1" t="shared" si="23"/>
        <v>11</v>
      </c>
      <c r="C175" s="128">
        <f ca="1" t="shared" si="24"/>
        <v>2</v>
      </c>
      <c r="D175" s="128">
        <f>SUM(LOOKUP(B175,'Gem types'!$B$3:$B$55,'Gem types'!$G$3:$G$55),PRODUCT(LOOKUP(B175,'Gem types'!$B$3:$B$55,'Gem types'!$G$3:$G$55),LOOKUP(C175,'Gem types'!$I$3:$I$29,'Gem types'!$J$3:$J$29)))</f>
        <v>110</v>
      </c>
      <c r="E175" s="98">
        <f t="shared" si="26"/>
      </c>
      <c r="F175" s="213">
        <f>IF(E175="","",LOOKUP(B175,'Gem types'!B3:C55,'Gem types'!C3:C55))</f>
      </c>
      <c r="G175" s="213"/>
      <c r="H175" s="213"/>
      <c r="I175" s="213"/>
      <c r="J175" s="213"/>
      <c r="K175" s="213"/>
      <c r="L175" s="213"/>
      <c r="M175" s="213"/>
      <c r="N175" s="213"/>
      <c r="O175" s="213">
        <f>IF(E175="","",LOOKUP(B175,'Gem types'!$B$3:$C$55,'Gem types'!$D$3:$D$55))</f>
      </c>
      <c r="P175" s="213"/>
      <c r="Q175" s="213"/>
      <c r="R175" s="213"/>
      <c r="S175" s="213"/>
      <c r="T175" s="213"/>
      <c r="U175" s="213"/>
      <c r="V175" s="213"/>
      <c r="W175" s="213"/>
      <c r="X175" s="213">
        <f>IF(E175="","",LOOKUP(B175,'Gem types'!$B$3:$C$55,'Gem types'!$F$3:$F$55))</f>
      </c>
      <c r="Y175" s="213"/>
      <c r="Z175" s="213"/>
      <c r="AA175" s="213"/>
      <c r="AB175" s="213"/>
      <c r="AC175" s="213"/>
      <c r="AD175" s="213"/>
      <c r="AE175" s="213"/>
      <c r="AF175" s="215">
        <f t="shared" si="22"/>
      </c>
      <c r="AG175" s="213"/>
      <c r="AH175" s="213"/>
      <c r="AI175" s="213"/>
      <c r="AJ175" s="215">
        <f>IF(F175="","",LOOKUP(C175,'Gem types'!$I$3:$I$29,'Gem types'!$K$3:$K$29))</f>
      </c>
      <c r="AK175" s="215"/>
      <c r="AL175" s="215"/>
      <c r="AM175" s="215"/>
      <c r="AN175" s="215">
        <f>IF(F175="","",LOOKUP(C175,'Gem types'!$I$3:$I$29,'Gem types'!$L$3:$L$29))</f>
      </c>
      <c r="AO175" s="215"/>
      <c r="AP175" s="215"/>
      <c r="AQ175" s="215"/>
      <c r="AS175" s="219">
        <f t="shared" si="25"/>
      </c>
      <c r="AT175" s="219"/>
    </row>
    <row r="176" spans="1:46" s="99" customFormat="1" ht="21" customHeight="1">
      <c r="A176" s="127">
        <f>'Treasurer Creator'!AC30</f>
        <v>0</v>
      </c>
      <c r="B176" s="127">
        <f ca="1" t="shared" si="23"/>
        <v>44</v>
      </c>
      <c r="C176" s="128">
        <f ca="1" t="shared" si="24"/>
        <v>15</v>
      </c>
      <c r="D176" s="128">
        <f>SUM(LOOKUP(B176,'Gem types'!$B$3:$B$55,'Gem types'!$G$3:$G$55),PRODUCT(LOOKUP(B176,'Gem types'!$B$3:$B$55,'Gem types'!$G$3:$G$55),LOOKUP(C176,'Gem types'!$I$3:$I$29,'Gem types'!$J$3:$J$29)))</f>
        <v>2000</v>
      </c>
      <c r="E176" s="98">
        <f t="shared" si="26"/>
      </c>
      <c r="F176" s="213">
        <f>IF(E176="","",LOOKUP(B176,'Gem types'!B3:C55,'Gem types'!C3:C55))</f>
      </c>
      <c r="G176" s="213"/>
      <c r="H176" s="213"/>
      <c r="I176" s="213"/>
      <c r="J176" s="213"/>
      <c r="K176" s="213"/>
      <c r="L176" s="213"/>
      <c r="M176" s="213"/>
      <c r="N176" s="213"/>
      <c r="O176" s="213">
        <f>IF(E176="","",LOOKUP(B176,'Gem types'!$B$3:$C$55,'Gem types'!$D$3:$D$55))</f>
      </c>
      <c r="P176" s="213"/>
      <c r="Q176" s="213"/>
      <c r="R176" s="213"/>
      <c r="S176" s="213"/>
      <c r="T176" s="213"/>
      <c r="U176" s="213"/>
      <c r="V176" s="213"/>
      <c r="W176" s="213"/>
      <c r="X176" s="213">
        <f>IF(E176="","",LOOKUP(B176,'Gem types'!$B$3:$C$55,'Gem types'!$F$3:$F$55))</f>
      </c>
      <c r="Y176" s="213"/>
      <c r="Z176" s="213"/>
      <c r="AA176" s="213"/>
      <c r="AB176" s="213"/>
      <c r="AC176" s="213"/>
      <c r="AD176" s="213"/>
      <c r="AE176" s="213"/>
      <c r="AF176" s="215">
        <f t="shared" si="22"/>
      </c>
      <c r="AG176" s="213"/>
      <c r="AH176" s="213"/>
      <c r="AI176" s="213"/>
      <c r="AJ176" s="215">
        <f>IF(F176="","",LOOKUP(C176,'Gem types'!$I$3:$I$29,'Gem types'!$K$3:$K$29))</f>
      </c>
      <c r="AK176" s="215"/>
      <c r="AL176" s="215"/>
      <c r="AM176" s="215"/>
      <c r="AN176" s="215">
        <f>IF(F176="","",LOOKUP(C176,'Gem types'!$I$3:$I$29,'Gem types'!$L$3:$L$29))</f>
      </c>
      <c r="AO176" s="215"/>
      <c r="AP176" s="215"/>
      <c r="AQ176" s="215"/>
      <c r="AS176" s="219">
        <f t="shared" si="25"/>
      </c>
      <c r="AT176" s="219"/>
    </row>
    <row r="177" spans="1:46" s="99" customFormat="1" ht="21" customHeight="1">
      <c r="A177" s="127">
        <f>'Treasurer Creator'!AC30</f>
        <v>0</v>
      </c>
      <c r="B177" s="127">
        <f ca="1" t="shared" si="23"/>
        <v>42</v>
      </c>
      <c r="C177" s="128">
        <f ca="1" t="shared" si="24"/>
        <v>12</v>
      </c>
      <c r="D177" s="128">
        <f>SUM(LOOKUP(B177,'Gem types'!$B$3:$B$55,'Gem types'!$G$3:$G$55),PRODUCT(LOOKUP(B177,'Gem types'!$B$3:$B$55,'Gem types'!$G$3:$G$55),LOOKUP(C177,'Gem types'!$I$3:$I$29,'Gem types'!$J$3:$J$29)))</f>
        <v>7000</v>
      </c>
      <c r="E177" s="98">
        <f t="shared" si="26"/>
      </c>
      <c r="F177" s="213">
        <f>IF(E177="","",LOOKUP(B177,'Gem types'!B3:C55,'Gem types'!C3:C55))</f>
      </c>
      <c r="G177" s="213"/>
      <c r="H177" s="213"/>
      <c r="I177" s="213"/>
      <c r="J177" s="213"/>
      <c r="K177" s="213"/>
      <c r="L177" s="213"/>
      <c r="M177" s="213"/>
      <c r="N177" s="213"/>
      <c r="O177" s="213">
        <f>IF(E177="","",LOOKUP(B177,'Gem types'!$B$3:$C$55,'Gem types'!$D$3:$D$55))</f>
      </c>
      <c r="P177" s="213"/>
      <c r="Q177" s="213"/>
      <c r="R177" s="213"/>
      <c r="S177" s="213"/>
      <c r="T177" s="213"/>
      <c r="U177" s="213"/>
      <c r="V177" s="213"/>
      <c r="W177" s="213"/>
      <c r="X177" s="213">
        <f>IF(E177="","",LOOKUP(B177,'Gem types'!$B$3:$C$55,'Gem types'!$F$3:$F$55))</f>
      </c>
      <c r="Y177" s="213"/>
      <c r="Z177" s="213"/>
      <c r="AA177" s="213"/>
      <c r="AB177" s="213"/>
      <c r="AC177" s="213"/>
      <c r="AD177" s="213"/>
      <c r="AE177" s="213"/>
      <c r="AF177" s="215">
        <f t="shared" si="22"/>
      </c>
      <c r="AG177" s="213"/>
      <c r="AH177" s="213"/>
      <c r="AI177" s="213"/>
      <c r="AJ177" s="215">
        <f>IF(F177="","",LOOKUP(C177,'Gem types'!$I$3:$I$29,'Gem types'!$K$3:$K$29))</f>
      </c>
      <c r="AK177" s="215"/>
      <c r="AL177" s="215"/>
      <c r="AM177" s="215"/>
      <c r="AN177" s="215">
        <f>IF(F177="","",LOOKUP(C177,'Gem types'!$I$3:$I$29,'Gem types'!$L$3:$L$29))</f>
      </c>
      <c r="AO177" s="215"/>
      <c r="AP177" s="215"/>
      <c r="AQ177" s="215"/>
      <c r="AS177" s="219">
        <f t="shared" si="25"/>
      </c>
      <c r="AT177" s="219"/>
    </row>
    <row r="178" spans="1:46" s="99" customFormat="1" ht="21" customHeight="1">
      <c r="A178" s="127">
        <f>'Treasurer Creator'!AC30</f>
        <v>0</v>
      </c>
      <c r="B178" s="127">
        <f ca="1" t="shared" si="23"/>
        <v>8</v>
      </c>
      <c r="C178" s="128">
        <f ca="1" t="shared" si="24"/>
        <v>26</v>
      </c>
      <c r="D178" s="128">
        <f>SUM(LOOKUP(B178,'Gem types'!$B$3:$B$55,'Gem types'!$G$3:$G$55),PRODUCT(LOOKUP(B178,'Gem types'!$B$3:$B$55,'Gem types'!$G$3:$G$55),LOOKUP(C178,'Gem types'!$I$3:$I$29,'Gem types'!$J$3:$J$29)))</f>
        <v>3</v>
      </c>
      <c r="E178" s="98">
        <f t="shared" si="26"/>
      </c>
      <c r="F178" s="213">
        <f>IF(E178="","",LOOKUP(B178,'Gem types'!B3:C55,'Gem types'!C3:C55))</f>
      </c>
      <c r="G178" s="213"/>
      <c r="H178" s="213"/>
      <c r="I178" s="213"/>
      <c r="J178" s="213"/>
      <c r="K178" s="213"/>
      <c r="L178" s="213"/>
      <c r="M178" s="213"/>
      <c r="N178" s="213"/>
      <c r="O178" s="213">
        <f>IF(E178="","",LOOKUP(B178,'Gem types'!$B$3:$C$55,'Gem types'!$D$3:$D$55))</f>
      </c>
      <c r="P178" s="213"/>
      <c r="Q178" s="213"/>
      <c r="R178" s="213"/>
      <c r="S178" s="213"/>
      <c r="T178" s="213"/>
      <c r="U178" s="213"/>
      <c r="V178" s="213"/>
      <c r="W178" s="213"/>
      <c r="X178" s="213">
        <f>IF(E178="","",LOOKUP(B178,'Gem types'!$B$3:$C$55,'Gem types'!$F$3:$F$55))</f>
      </c>
      <c r="Y178" s="213"/>
      <c r="Z178" s="213"/>
      <c r="AA178" s="213"/>
      <c r="AB178" s="213"/>
      <c r="AC178" s="213"/>
      <c r="AD178" s="213"/>
      <c r="AE178" s="213"/>
      <c r="AF178" s="215">
        <f t="shared" si="22"/>
      </c>
      <c r="AG178" s="213"/>
      <c r="AH178" s="213"/>
      <c r="AI178" s="213"/>
      <c r="AJ178" s="215">
        <f>IF(F178="","",LOOKUP(C178,'Gem types'!$I$3:$I$29,'Gem types'!$K$3:$K$29))</f>
      </c>
      <c r="AK178" s="215"/>
      <c r="AL178" s="215"/>
      <c r="AM178" s="215"/>
      <c r="AN178" s="215">
        <f>IF(F178="","",LOOKUP(C178,'Gem types'!$I$3:$I$29,'Gem types'!$L$3:$L$29))</f>
      </c>
      <c r="AO178" s="215"/>
      <c r="AP178" s="215"/>
      <c r="AQ178" s="215"/>
      <c r="AS178" s="219">
        <f t="shared" si="25"/>
      </c>
      <c r="AT178" s="219"/>
    </row>
    <row r="179" spans="1:46" s="99" customFormat="1" ht="21" customHeight="1">
      <c r="A179" s="127">
        <f>'Treasurer Creator'!AC30</f>
        <v>0</v>
      </c>
      <c r="B179" s="127">
        <f ca="1" t="shared" si="23"/>
        <v>10</v>
      </c>
      <c r="C179" s="128">
        <f ca="1" t="shared" si="24"/>
        <v>2</v>
      </c>
      <c r="D179" s="128">
        <f>SUM(LOOKUP(B179,'Gem types'!$B$3:$B$55,'Gem types'!$G$3:$G$55),PRODUCT(LOOKUP(B179,'Gem types'!$B$3:$B$55,'Gem types'!$G$3:$G$55),LOOKUP(C179,'Gem types'!$I$3:$I$29,'Gem types'!$J$3:$J$29)))</f>
        <v>110</v>
      </c>
      <c r="E179" s="98">
        <f t="shared" si="26"/>
      </c>
      <c r="F179" s="213">
        <f>IF(E179="","",LOOKUP(B179,'Gem types'!B3:C55,'Gem types'!C3:C55))</f>
      </c>
      <c r="G179" s="213"/>
      <c r="H179" s="213"/>
      <c r="I179" s="213"/>
      <c r="J179" s="213"/>
      <c r="K179" s="213"/>
      <c r="L179" s="213"/>
      <c r="M179" s="213"/>
      <c r="N179" s="213"/>
      <c r="O179" s="213">
        <f>IF(E179="","",LOOKUP(B179,'Gem types'!$B$3:$C$55,'Gem types'!$D$3:$D$55))</f>
      </c>
      <c r="P179" s="213"/>
      <c r="Q179" s="213"/>
      <c r="R179" s="213"/>
      <c r="S179" s="213"/>
      <c r="T179" s="213"/>
      <c r="U179" s="213"/>
      <c r="V179" s="213"/>
      <c r="W179" s="213"/>
      <c r="X179" s="213">
        <f>IF(E179="","",LOOKUP(B179,'Gem types'!$B$3:$C$55,'Gem types'!$F$3:$F$55))</f>
      </c>
      <c r="Y179" s="213"/>
      <c r="Z179" s="213"/>
      <c r="AA179" s="213"/>
      <c r="AB179" s="213"/>
      <c r="AC179" s="213"/>
      <c r="AD179" s="213"/>
      <c r="AE179" s="213"/>
      <c r="AF179" s="215">
        <f t="shared" si="22"/>
      </c>
      <c r="AG179" s="213"/>
      <c r="AH179" s="213"/>
      <c r="AI179" s="213"/>
      <c r="AJ179" s="215">
        <f>IF(F179="","",LOOKUP(C179,'Gem types'!$I$3:$I$29,'Gem types'!$K$3:$K$29))</f>
      </c>
      <c r="AK179" s="215"/>
      <c r="AL179" s="215"/>
      <c r="AM179" s="215"/>
      <c r="AN179" s="215">
        <f>IF(F179="","",LOOKUP(C179,'Gem types'!$I$3:$I$29,'Gem types'!$L$3:$L$29))</f>
      </c>
      <c r="AO179" s="215"/>
      <c r="AP179" s="215"/>
      <c r="AQ179" s="215"/>
      <c r="AS179" s="219">
        <f t="shared" si="25"/>
      </c>
      <c r="AT179" s="219"/>
    </row>
    <row r="180" spans="1:46" s="99" customFormat="1" ht="21" customHeight="1">
      <c r="A180" s="127">
        <f>'Treasurer Creator'!AC30</f>
        <v>0</v>
      </c>
      <c r="B180" s="127">
        <f ca="1" t="shared" si="23"/>
        <v>33</v>
      </c>
      <c r="C180" s="128">
        <f ca="1" t="shared" si="24"/>
        <v>4</v>
      </c>
      <c r="D180" s="128">
        <f>SUM(LOOKUP(B180,'Gem types'!$B$3:$B$55,'Gem types'!$G$3:$G$55),PRODUCT(LOOKUP(B180,'Gem types'!$B$3:$B$55,'Gem types'!$G$3:$G$55),LOOKUP(C180,'Gem types'!$I$3:$I$29,'Gem types'!$J$3:$J$29)))</f>
        <v>300</v>
      </c>
      <c r="E180" s="98">
        <f t="shared" si="26"/>
      </c>
      <c r="F180" s="213">
        <f>IF(E180="","",LOOKUP(B180,'Gem types'!B3:C55,'Gem types'!C3:C55))</f>
      </c>
      <c r="G180" s="213"/>
      <c r="H180" s="213"/>
      <c r="I180" s="213"/>
      <c r="J180" s="213"/>
      <c r="K180" s="213"/>
      <c r="L180" s="213"/>
      <c r="M180" s="213"/>
      <c r="N180" s="213"/>
      <c r="O180" s="213">
        <f>IF(E180="","",LOOKUP(B180,'Gem types'!$B$3:$C$55,'Gem types'!$D$3:$D$55))</f>
      </c>
      <c r="P180" s="213"/>
      <c r="Q180" s="213"/>
      <c r="R180" s="213"/>
      <c r="S180" s="213"/>
      <c r="T180" s="213"/>
      <c r="U180" s="213"/>
      <c r="V180" s="213"/>
      <c r="W180" s="213"/>
      <c r="X180" s="213">
        <f>IF(E180="","",LOOKUP(B180,'Gem types'!$B$3:$C$55,'Gem types'!$F$3:$F$55))</f>
      </c>
      <c r="Y180" s="213"/>
      <c r="Z180" s="213"/>
      <c r="AA180" s="213"/>
      <c r="AB180" s="213"/>
      <c r="AC180" s="213"/>
      <c r="AD180" s="213"/>
      <c r="AE180" s="213"/>
      <c r="AF180" s="215">
        <f t="shared" si="22"/>
      </c>
      <c r="AG180" s="213"/>
      <c r="AH180" s="213"/>
      <c r="AI180" s="213"/>
      <c r="AJ180" s="215">
        <f>IF(F180="","",LOOKUP(C180,'Gem types'!$I$3:$I$29,'Gem types'!$K$3:$K$29))</f>
      </c>
      <c r="AK180" s="215"/>
      <c r="AL180" s="215"/>
      <c r="AM180" s="215"/>
      <c r="AN180" s="215">
        <f>IF(F180="","",LOOKUP(C180,'Gem types'!$I$3:$I$29,'Gem types'!$L$3:$L$29))</f>
      </c>
      <c r="AO180" s="215"/>
      <c r="AP180" s="215"/>
      <c r="AQ180" s="215"/>
      <c r="AS180" s="219">
        <f t="shared" si="25"/>
      </c>
      <c r="AT180" s="219"/>
    </row>
    <row r="181" spans="1:46" s="99" customFormat="1" ht="21" customHeight="1">
      <c r="A181" s="127">
        <f>'Treasurer Creator'!AC30</f>
        <v>0</v>
      </c>
      <c r="B181" s="127">
        <f ca="1" t="shared" si="23"/>
        <v>31</v>
      </c>
      <c r="C181" s="128">
        <f ca="1" t="shared" si="24"/>
        <v>27</v>
      </c>
      <c r="D181" s="128">
        <f>SUM(LOOKUP(B181,'Gem types'!$B$3:$B$55,'Gem types'!$G$3:$G$55),PRODUCT(LOOKUP(B181,'Gem types'!$B$3:$B$55,'Gem types'!$G$3:$G$55),LOOKUP(C181,'Gem types'!$I$3:$I$29,'Gem types'!$J$3:$J$29)))</f>
        <v>20</v>
      </c>
      <c r="E181" s="98">
        <f t="shared" si="26"/>
      </c>
      <c r="F181" s="213">
        <f>IF(E181="","",LOOKUP(B181,'Gem types'!B3:C55,'Gem types'!C3:C55))</f>
      </c>
      <c r="G181" s="213"/>
      <c r="H181" s="213"/>
      <c r="I181" s="213"/>
      <c r="J181" s="213"/>
      <c r="K181" s="213"/>
      <c r="L181" s="213"/>
      <c r="M181" s="213"/>
      <c r="N181" s="213"/>
      <c r="O181" s="213">
        <f>IF(E181="","",LOOKUP(B181,'Gem types'!$B$3:$C$55,'Gem types'!$D$3:$D$55))</f>
      </c>
      <c r="P181" s="213"/>
      <c r="Q181" s="213"/>
      <c r="R181" s="213"/>
      <c r="S181" s="213"/>
      <c r="T181" s="213"/>
      <c r="U181" s="213"/>
      <c r="V181" s="213"/>
      <c r="W181" s="213"/>
      <c r="X181" s="213">
        <f>IF(E181="","",LOOKUP(B181,'Gem types'!$B$3:$C$55,'Gem types'!$F$3:$F$55))</f>
      </c>
      <c r="Y181" s="213"/>
      <c r="Z181" s="213"/>
      <c r="AA181" s="213"/>
      <c r="AB181" s="213"/>
      <c r="AC181" s="213"/>
      <c r="AD181" s="213"/>
      <c r="AE181" s="213"/>
      <c r="AF181" s="215">
        <f t="shared" si="22"/>
      </c>
      <c r="AG181" s="213"/>
      <c r="AH181" s="213"/>
      <c r="AI181" s="213"/>
      <c r="AJ181" s="215">
        <f>IF(F181="","",LOOKUP(C181,'Gem types'!$I$3:$I$29,'Gem types'!$K$3:$K$29))</f>
      </c>
      <c r="AK181" s="215"/>
      <c r="AL181" s="215"/>
      <c r="AM181" s="215"/>
      <c r="AN181" s="215">
        <f>IF(F181="","",LOOKUP(C181,'Gem types'!$I$3:$I$29,'Gem types'!$L$3:$L$29))</f>
      </c>
      <c r="AO181" s="215"/>
      <c r="AP181" s="215"/>
      <c r="AQ181" s="215"/>
      <c r="AS181" s="219">
        <f t="shared" si="25"/>
      </c>
      <c r="AT181" s="219"/>
    </row>
    <row r="182" spans="1:46" s="99" customFormat="1" ht="21" customHeight="1">
      <c r="A182" s="127">
        <f>'Treasurer Creator'!AC30</f>
        <v>0</v>
      </c>
      <c r="B182" s="127">
        <f ca="1" t="shared" si="23"/>
        <v>3</v>
      </c>
      <c r="C182" s="128">
        <f ca="1" t="shared" si="24"/>
        <v>11</v>
      </c>
      <c r="D182" s="128">
        <f>SUM(LOOKUP(B182,'Gem types'!$B$3:$B$55,'Gem types'!$G$3:$G$55),PRODUCT(LOOKUP(B182,'Gem types'!$B$3:$B$55,'Gem types'!$G$3:$G$55),LOOKUP(C182,'Gem types'!$I$3:$I$29,'Gem types'!$J$3:$J$29)))</f>
        <v>13</v>
      </c>
      <c r="E182" s="98">
        <f t="shared" si="26"/>
      </c>
      <c r="F182" s="213">
        <f>IF(E182="","",LOOKUP(B182,'Gem types'!B3:C55,'Gem types'!C3:C55))</f>
      </c>
      <c r="G182" s="213"/>
      <c r="H182" s="213"/>
      <c r="I182" s="213"/>
      <c r="J182" s="213"/>
      <c r="K182" s="213"/>
      <c r="L182" s="213"/>
      <c r="M182" s="213"/>
      <c r="N182" s="213"/>
      <c r="O182" s="213">
        <f>IF(E182="","",LOOKUP(B182,'Gem types'!$B$3:$C$55,'Gem types'!$D$3:$D$55))</f>
      </c>
      <c r="P182" s="213"/>
      <c r="Q182" s="213"/>
      <c r="R182" s="213"/>
      <c r="S182" s="213"/>
      <c r="T182" s="213"/>
      <c r="U182" s="213"/>
      <c r="V182" s="213"/>
      <c r="W182" s="213"/>
      <c r="X182" s="213">
        <f>IF(E182="","",LOOKUP(B182,'Gem types'!$B$3:$C$55,'Gem types'!$F$3:$F$55))</f>
      </c>
      <c r="Y182" s="213"/>
      <c r="Z182" s="213"/>
      <c r="AA182" s="213"/>
      <c r="AB182" s="213"/>
      <c r="AC182" s="213"/>
      <c r="AD182" s="213"/>
      <c r="AE182" s="213"/>
      <c r="AF182" s="215">
        <f t="shared" si="22"/>
      </c>
      <c r="AG182" s="213"/>
      <c r="AH182" s="213"/>
      <c r="AI182" s="213"/>
      <c r="AJ182" s="215">
        <f>IF(F182="","",LOOKUP(C182,'Gem types'!$I$3:$I$29,'Gem types'!$K$3:$K$29))</f>
      </c>
      <c r="AK182" s="215"/>
      <c r="AL182" s="215"/>
      <c r="AM182" s="215"/>
      <c r="AN182" s="215">
        <f>IF(F182="","",LOOKUP(C182,'Gem types'!$I$3:$I$29,'Gem types'!$L$3:$L$29))</f>
      </c>
      <c r="AO182" s="215"/>
      <c r="AP182" s="215"/>
      <c r="AQ182" s="215"/>
      <c r="AS182" s="219">
        <f t="shared" si="25"/>
      </c>
      <c r="AT182" s="219"/>
    </row>
    <row r="183" spans="1:46" s="99" customFormat="1" ht="21" customHeight="1">
      <c r="A183" s="127">
        <f>'Treasurer Creator'!AC30</f>
        <v>0</v>
      </c>
      <c r="B183" s="127">
        <f ca="1" t="shared" si="23"/>
        <v>10</v>
      </c>
      <c r="C183" s="128">
        <f ca="1" t="shared" si="24"/>
        <v>11</v>
      </c>
      <c r="D183" s="128">
        <f>SUM(LOOKUP(B183,'Gem types'!$B$3:$B$55,'Gem types'!$G$3:$G$55),PRODUCT(LOOKUP(B183,'Gem types'!$B$3:$B$55,'Gem types'!$G$3:$G$55),LOOKUP(C183,'Gem types'!$I$3:$I$29,'Gem types'!$J$3:$J$29)))</f>
        <v>13</v>
      </c>
      <c r="E183" s="98">
        <f t="shared" si="26"/>
      </c>
      <c r="F183" s="213">
        <f>IF(E183="","",LOOKUP(B183,'Gem types'!B3:C55,'Gem types'!C3:C55))</f>
      </c>
      <c r="G183" s="213"/>
      <c r="H183" s="213"/>
      <c r="I183" s="213"/>
      <c r="J183" s="213"/>
      <c r="K183" s="213"/>
      <c r="L183" s="213"/>
      <c r="M183" s="213"/>
      <c r="N183" s="213"/>
      <c r="O183" s="213">
        <f>IF(E183="","",LOOKUP(B183,'Gem types'!$B$3:$C$55,'Gem types'!$D$3:$D$55))</f>
      </c>
      <c r="P183" s="213"/>
      <c r="Q183" s="213"/>
      <c r="R183" s="213"/>
      <c r="S183" s="213"/>
      <c r="T183" s="213"/>
      <c r="U183" s="213"/>
      <c r="V183" s="213"/>
      <c r="W183" s="213"/>
      <c r="X183" s="213">
        <f>IF(E183="","",LOOKUP(B183,'Gem types'!$B$3:$C$55,'Gem types'!$F$3:$F$55))</f>
      </c>
      <c r="Y183" s="213"/>
      <c r="Z183" s="213"/>
      <c r="AA183" s="213"/>
      <c r="AB183" s="213"/>
      <c r="AC183" s="213"/>
      <c r="AD183" s="213"/>
      <c r="AE183" s="213"/>
      <c r="AF183" s="215">
        <f t="shared" si="22"/>
      </c>
      <c r="AG183" s="213"/>
      <c r="AH183" s="213"/>
      <c r="AI183" s="213"/>
      <c r="AJ183" s="215">
        <f>IF(F183="","",LOOKUP(C183,'Gem types'!$I$3:$I$29,'Gem types'!$K$3:$K$29))</f>
      </c>
      <c r="AK183" s="215"/>
      <c r="AL183" s="215"/>
      <c r="AM183" s="215"/>
      <c r="AN183" s="215">
        <f>IF(F183="","",LOOKUP(C183,'Gem types'!$I$3:$I$29,'Gem types'!$L$3:$L$29))</f>
      </c>
      <c r="AO183" s="215"/>
      <c r="AP183" s="215"/>
      <c r="AQ183" s="215"/>
      <c r="AS183" s="219">
        <f t="shared" si="25"/>
      </c>
      <c r="AT183" s="219"/>
    </row>
    <row r="184" spans="1:46" s="99" customFormat="1" ht="21" customHeight="1">
      <c r="A184" s="127">
        <f>'Treasurer Creator'!AC30</f>
        <v>0</v>
      </c>
      <c r="B184" s="127">
        <f ca="1" t="shared" si="23"/>
        <v>9</v>
      </c>
      <c r="C184" s="128">
        <f ca="1" t="shared" si="24"/>
        <v>17</v>
      </c>
      <c r="D184" s="128">
        <f>SUM(LOOKUP(B184,'Gem types'!$B$3:$B$55,'Gem types'!$G$3:$G$55),PRODUCT(LOOKUP(B184,'Gem types'!$B$3:$B$55,'Gem types'!$G$3:$G$55),LOOKUP(C184,'Gem types'!$I$3:$I$29,'Gem types'!$J$3:$J$29)))</f>
        <v>40</v>
      </c>
      <c r="E184" s="98">
        <f t="shared" si="26"/>
      </c>
      <c r="F184" s="213">
        <f>IF(E184="","",LOOKUP(B184,'Gem types'!B3:C55,'Gem types'!C3:C55))</f>
      </c>
      <c r="G184" s="213"/>
      <c r="H184" s="213"/>
      <c r="I184" s="213"/>
      <c r="J184" s="213"/>
      <c r="K184" s="213"/>
      <c r="L184" s="213"/>
      <c r="M184" s="213"/>
      <c r="N184" s="213"/>
      <c r="O184" s="213">
        <f>IF(E184="","",LOOKUP(B184,'Gem types'!$B$3:$C$55,'Gem types'!$D$3:$D$55))</f>
      </c>
      <c r="P184" s="213"/>
      <c r="Q184" s="213"/>
      <c r="R184" s="213"/>
      <c r="S184" s="213"/>
      <c r="T184" s="213"/>
      <c r="U184" s="213"/>
      <c r="V184" s="213"/>
      <c r="W184" s="213"/>
      <c r="X184" s="213">
        <f>IF(E184="","",LOOKUP(B184,'Gem types'!$B$3:$C$55,'Gem types'!$F$3:$F$55))</f>
      </c>
      <c r="Y184" s="213"/>
      <c r="Z184" s="213"/>
      <c r="AA184" s="213"/>
      <c r="AB184" s="213"/>
      <c r="AC184" s="213"/>
      <c r="AD184" s="213"/>
      <c r="AE184" s="213"/>
      <c r="AF184" s="215">
        <f t="shared" si="22"/>
      </c>
      <c r="AG184" s="213"/>
      <c r="AH184" s="213"/>
      <c r="AI184" s="213"/>
      <c r="AJ184" s="215">
        <f>IF(F184="","",LOOKUP(C184,'Gem types'!$I$3:$I$29,'Gem types'!$K$3:$K$29))</f>
      </c>
      <c r="AK184" s="215"/>
      <c r="AL184" s="215"/>
      <c r="AM184" s="215"/>
      <c r="AN184" s="215">
        <f>IF(F184="","",LOOKUP(C184,'Gem types'!$I$3:$I$29,'Gem types'!$L$3:$L$29))</f>
      </c>
      <c r="AO184" s="215"/>
      <c r="AP184" s="215"/>
      <c r="AQ184" s="215"/>
      <c r="AS184" s="219">
        <f t="shared" si="25"/>
      </c>
      <c r="AT184" s="219"/>
    </row>
    <row r="185" spans="1:46" s="99" customFormat="1" ht="21" customHeight="1">
      <c r="A185" s="127">
        <f>'Treasurer Creator'!AC30</f>
        <v>0</v>
      </c>
      <c r="B185" s="127">
        <f ca="1" t="shared" si="23"/>
        <v>1</v>
      </c>
      <c r="C185" s="128">
        <f ca="1" t="shared" si="24"/>
        <v>7</v>
      </c>
      <c r="D185" s="128">
        <f>SUM(LOOKUP(B185,'Gem types'!$B$3:$B$55,'Gem types'!$G$3:$G$55),PRODUCT(LOOKUP(B185,'Gem types'!$B$3:$B$55,'Gem types'!$G$3:$G$55),LOOKUP(C185,'Gem types'!$I$3:$I$29,'Gem types'!$J$3:$J$29)))</f>
        <v>30</v>
      </c>
      <c r="E185" s="98">
        <f t="shared" si="26"/>
      </c>
      <c r="F185" s="213">
        <f>IF(E185="","",LOOKUP(B185,'Gem types'!B3:C55,'Gem types'!C3:C55))</f>
      </c>
      <c r="G185" s="213"/>
      <c r="H185" s="213"/>
      <c r="I185" s="213"/>
      <c r="J185" s="213"/>
      <c r="K185" s="213"/>
      <c r="L185" s="213"/>
      <c r="M185" s="213"/>
      <c r="N185" s="213"/>
      <c r="O185" s="213">
        <f>IF(E185="","",LOOKUP(B185,'Gem types'!$B$3:$C$55,'Gem types'!$D$3:$D$55))</f>
      </c>
      <c r="P185" s="213"/>
      <c r="Q185" s="213"/>
      <c r="R185" s="213"/>
      <c r="S185" s="213"/>
      <c r="T185" s="213"/>
      <c r="U185" s="213"/>
      <c r="V185" s="213"/>
      <c r="W185" s="213"/>
      <c r="X185" s="213">
        <f>IF(E185="","",LOOKUP(B185,'Gem types'!$B$3:$C$55,'Gem types'!$F$3:$F$55))</f>
      </c>
      <c r="Y185" s="213"/>
      <c r="Z185" s="213"/>
      <c r="AA185" s="213"/>
      <c r="AB185" s="213"/>
      <c r="AC185" s="213"/>
      <c r="AD185" s="213"/>
      <c r="AE185" s="213"/>
      <c r="AF185" s="215">
        <f t="shared" si="22"/>
      </c>
      <c r="AG185" s="213"/>
      <c r="AH185" s="213"/>
      <c r="AI185" s="213"/>
      <c r="AJ185" s="215">
        <f>IF(F185="","",LOOKUP(C185,'Gem types'!$I$3:$I$29,'Gem types'!$K$3:$K$29))</f>
      </c>
      <c r="AK185" s="215"/>
      <c r="AL185" s="215"/>
      <c r="AM185" s="215"/>
      <c r="AN185" s="215">
        <f>IF(F185="","",LOOKUP(C185,'Gem types'!$I$3:$I$29,'Gem types'!$L$3:$L$29))</f>
      </c>
      <c r="AO185" s="215"/>
      <c r="AP185" s="215"/>
      <c r="AQ185" s="215"/>
      <c r="AS185" s="219">
        <f t="shared" si="25"/>
      </c>
      <c r="AT185" s="219"/>
    </row>
    <row r="186" spans="1:46" s="99" customFormat="1" ht="21" customHeight="1">
      <c r="A186" s="127">
        <f>'Treasurer Creator'!AC30</f>
        <v>0</v>
      </c>
      <c r="B186" s="127">
        <f ca="1" t="shared" si="23"/>
        <v>18</v>
      </c>
      <c r="C186" s="128">
        <f ca="1" t="shared" si="24"/>
        <v>27</v>
      </c>
      <c r="D186" s="128">
        <f>SUM(LOOKUP(B186,'Gem types'!$B$3:$B$55,'Gem types'!$G$3:$G$55),PRODUCT(LOOKUP(B186,'Gem types'!$B$3:$B$55,'Gem types'!$G$3:$G$55),LOOKUP(C186,'Gem types'!$I$3:$I$29,'Gem types'!$J$3:$J$29)))</f>
        <v>10</v>
      </c>
      <c r="E186" s="98">
        <f t="shared" si="26"/>
      </c>
      <c r="F186" s="213">
        <f>IF(E186="","",LOOKUP(B186,'Gem types'!B3:C55,'Gem types'!C3:C55))</f>
      </c>
      <c r="G186" s="213"/>
      <c r="H186" s="213"/>
      <c r="I186" s="213"/>
      <c r="J186" s="213"/>
      <c r="K186" s="213"/>
      <c r="L186" s="213"/>
      <c r="M186" s="213"/>
      <c r="N186" s="213"/>
      <c r="O186" s="213">
        <f>IF(E186="","",LOOKUP(B186,'Gem types'!$B$3:$C$55,'Gem types'!$D$3:$D$55))</f>
      </c>
      <c r="P186" s="213"/>
      <c r="Q186" s="213"/>
      <c r="R186" s="213"/>
      <c r="S186" s="213"/>
      <c r="T186" s="213"/>
      <c r="U186" s="213"/>
      <c r="V186" s="213"/>
      <c r="W186" s="213"/>
      <c r="X186" s="213">
        <f>IF(E186="","",LOOKUP(B186,'Gem types'!$B$3:$C$55,'Gem types'!$F$3:$F$55))</f>
      </c>
      <c r="Y186" s="213"/>
      <c r="Z186" s="213"/>
      <c r="AA186" s="213"/>
      <c r="AB186" s="213"/>
      <c r="AC186" s="213"/>
      <c r="AD186" s="213"/>
      <c r="AE186" s="213"/>
      <c r="AF186" s="215">
        <f t="shared" si="22"/>
      </c>
      <c r="AG186" s="213"/>
      <c r="AH186" s="213"/>
      <c r="AI186" s="213"/>
      <c r="AJ186" s="215">
        <f>IF(F186="","",LOOKUP(C186,'Gem types'!$I$3:$I$29,'Gem types'!$K$3:$K$29))</f>
      </c>
      <c r="AK186" s="215"/>
      <c r="AL186" s="215"/>
      <c r="AM186" s="215"/>
      <c r="AN186" s="215">
        <f>IF(F186="","",LOOKUP(C186,'Gem types'!$I$3:$I$29,'Gem types'!$L$3:$L$29))</f>
      </c>
      <c r="AO186" s="215"/>
      <c r="AP186" s="215"/>
      <c r="AQ186" s="215"/>
      <c r="AS186" s="219">
        <f t="shared" si="25"/>
      </c>
      <c r="AT186" s="219"/>
    </row>
    <row r="187" spans="1:46" s="99" customFormat="1" ht="21" customHeight="1">
      <c r="A187" s="127">
        <f>'Treasurer Creator'!AC30</f>
        <v>0</v>
      </c>
      <c r="B187" s="127">
        <f ca="1" t="shared" si="23"/>
        <v>18</v>
      </c>
      <c r="C187" s="128">
        <f ca="1" t="shared" si="24"/>
        <v>17</v>
      </c>
      <c r="D187" s="128">
        <f>SUM(LOOKUP(B187,'Gem types'!$B$3:$B$55,'Gem types'!$G$3:$G$55),PRODUCT(LOOKUP(B187,'Gem types'!$B$3:$B$55,'Gem types'!$G$3:$G$55),LOOKUP(C187,'Gem types'!$I$3:$I$29,'Gem types'!$J$3:$J$29)))</f>
        <v>200</v>
      </c>
      <c r="E187" s="98">
        <f t="shared" si="26"/>
      </c>
      <c r="F187" s="213">
        <f>IF(E187="","",LOOKUP(B187,'Gem types'!B3:C55,'Gem types'!C3:C55))</f>
      </c>
      <c r="G187" s="213"/>
      <c r="H187" s="213"/>
      <c r="I187" s="213"/>
      <c r="J187" s="213"/>
      <c r="K187" s="213"/>
      <c r="L187" s="213"/>
      <c r="M187" s="213"/>
      <c r="N187" s="213"/>
      <c r="O187" s="213">
        <f>IF(E187="","",LOOKUP(B187,'Gem types'!$B$3:$C$55,'Gem types'!$D$3:$D$55))</f>
      </c>
      <c r="P187" s="213"/>
      <c r="Q187" s="213"/>
      <c r="R187" s="213"/>
      <c r="S187" s="213"/>
      <c r="T187" s="213"/>
      <c r="U187" s="213"/>
      <c r="V187" s="213"/>
      <c r="W187" s="213"/>
      <c r="X187" s="213">
        <f>IF(E187="","",LOOKUP(B187,'Gem types'!$B$3:$C$55,'Gem types'!$F$3:$F$55))</f>
      </c>
      <c r="Y187" s="213"/>
      <c r="Z187" s="213"/>
      <c r="AA187" s="213"/>
      <c r="AB187" s="213"/>
      <c r="AC187" s="213"/>
      <c r="AD187" s="213"/>
      <c r="AE187" s="213"/>
      <c r="AF187" s="215">
        <f t="shared" si="22"/>
      </c>
      <c r="AG187" s="213"/>
      <c r="AH187" s="213"/>
      <c r="AI187" s="213"/>
      <c r="AJ187" s="215">
        <f>IF(F187="","",LOOKUP(C187,'Gem types'!$I$3:$I$29,'Gem types'!$K$3:$K$29))</f>
      </c>
      <c r="AK187" s="215"/>
      <c r="AL187" s="215"/>
      <c r="AM187" s="215"/>
      <c r="AN187" s="215">
        <f>IF(F187="","",LOOKUP(C187,'Gem types'!$I$3:$I$29,'Gem types'!$L$3:$L$29))</f>
      </c>
      <c r="AO187" s="215"/>
      <c r="AP187" s="215"/>
      <c r="AQ187" s="215"/>
      <c r="AS187" s="219">
        <f t="shared" si="25"/>
      </c>
      <c r="AT187" s="219"/>
    </row>
    <row r="188" spans="1:46" s="99" customFormat="1" ht="21" customHeight="1">
      <c r="A188" s="127">
        <f>'Treasurer Creator'!AC30</f>
        <v>0</v>
      </c>
      <c r="B188" s="127">
        <f ca="1" t="shared" si="23"/>
        <v>41</v>
      </c>
      <c r="C188" s="128">
        <f ca="1" t="shared" si="24"/>
        <v>5</v>
      </c>
      <c r="D188" s="128">
        <f>SUM(LOOKUP(B188,'Gem types'!$B$3:$B$55,'Gem types'!$G$3:$G$55),PRODUCT(LOOKUP(B188,'Gem types'!$B$3:$B$55,'Gem types'!$G$3:$G$55),LOOKUP(C188,'Gem types'!$I$3:$I$29,'Gem types'!$J$3:$J$29)))</f>
        <v>10000</v>
      </c>
      <c r="E188" s="98">
        <f t="shared" si="26"/>
      </c>
      <c r="F188" s="213">
        <f>IF(E188="","",LOOKUP(B188,'Gem types'!B3:C55,'Gem types'!C3:C55))</f>
      </c>
      <c r="G188" s="213"/>
      <c r="H188" s="213"/>
      <c r="I188" s="213"/>
      <c r="J188" s="213"/>
      <c r="K188" s="213"/>
      <c r="L188" s="213"/>
      <c r="M188" s="213"/>
      <c r="N188" s="213"/>
      <c r="O188" s="213">
        <f>IF(E188="","",LOOKUP(B188,'Gem types'!$B$3:$C$55,'Gem types'!$D$3:$D$55))</f>
      </c>
      <c r="P188" s="213"/>
      <c r="Q188" s="213"/>
      <c r="R188" s="213"/>
      <c r="S188" s="213"/>
      <c r="T188" s="213"/>
      <c r="U188" s="213"/>
      <c r="V188" s="213"/>
      <c r="W188" s="213"/>
      <c r="X188" s="213">
        <f>IF(E188="","",LOOKUP(B188,'Gem types'!$B$3:$C$55,'Gem types'!$F$3:$F$55))</f>
      </c>
      <c r="Y188" s="213"/>
      <c r="Z188" s="213"/>
      <c r="AA188" s="213"/>
      <c r="AB188" s="213"/>
      <c r="AC188" s="213"/>
      <c r="AD188" s="213"/>
      <c r="AE188" s="213"/>
      <c r="AF188" s="215">
        <f t="shared" si="22"/>
      </c>
      <c r="AG188" s="213"/>
      <c r="AH188" s="213"/>
      <c r="AI188" s="213"/>
      <c r="AJ188" s="215">
        <f>IF(F188="","",LOOKUP(C188,'Gem types'!$I$3:$I$29,'Gem types'!$K$3:$K$29))</f>
      </c>
      <c r="AK188" s="215"/>
      <c r="AL188" s="215"/>
      <c r="AM188" s="215"/>
      <c r="AN188" s="215">
        <f>IF(F188="","",LOOKUP(C188,'Gem types'!$I$3:$I$29,'Gem types'!$L$3:$L$29))</f>
      </c>
      <c r="AO188" s="215"/>
      <c r="AP188" s="215"/>
      <c r="AQ188" s="215"/>
      <c r="AS188" s="219">
        <f t="shared" si="25"/>
      </c>
      <c r="AT188" s="219"/>
    </row>
    <row r="189" spans="1:46" s="99" customFormat="1" ht="21" customHeight="1">
      <c r="A189" s="127">
        <f>'Treasurer Creator'!AC30</f>
        <v>0</v>
      </c>
      <c r="B189" s="127">
        <f ca="1" t="shared" si="23"/>
        <v>38</v>
      </c>
      <c r="C189" s="128">
        <f ca="1" t="shared" si="24"/>
        <v>20</v>
      </c>
      <c r="D189" s="128">
        <f>SUM(LOOKUP(B189,'Gem types'!$B$3:$B$55,'Gem types'!$G$3:$G$55),PRODUCT(LOOKUP(B189,'Gem types'!$B$3:$B$55,'Gem types'!$G$3:$G$55),LOOKUP(C189,'Gem types'!$I$3:$I$29,'Gem types'!$J$3:$J$29)))</f>
        <v>450</v>
      </c>
      <c r="E189" s="98">
        <f t="shared" si="26"/>
      </c>
      <c r="F189" s="213">
        <f>IF(E189="","",LOOKUP(B189,'Gem types'!B3:C55,'Gem types'!C3:C55))</f>
      </c>
      <c r="G189" s="213"/>
      <c r="H189" s="213"/>
      <c r="I189" s="213"/>
      <c r="J189" s="213"/>
      <c r="K189" s="213"/>
      <c r="L189" s="213"/>
      <c r="M189" s="213"/>
      <c r="N189" s="213"/>
      <c r="O189" s="213">
        <f>IF(E189="","",LOOKUP(B189,'Gem types'!$B$3:$C$55,'Gem types'!$D$3:$D$55))</f>
      </c>
      <c r="P189" s="213"/>
      <c r="Q189" s="213"/>
      <c r="R189" s="213"/>
      <c r="S189" s="213"/>
      <c r="T189" s="213"/>
      <c r="U189" s="213"/>
      <c r="V189" s="213"/>
      <c r="W189" s="213"/>
      <c r="X189" s="213">
        <f>IF(E189="","",LOOKUP(B189,'Gem types'!$B$3:$C$55,'Gem types'!$F$3:$F$55))</f>
      </c>
      <c r="Y189" s="213"/>
      <c r="Z189" s="213"/>
      <c r="AA189" s="213"/>
      <c r="AB189" s="213"/>
      <c r="AC189" s="213"/>
      <c r="AD189" s="213"/>
      <c r="AE189" s="213"/>
      <c r="AF189" s="215">
        <f t="shared" si="22"/>
      </c>
      <c r="AG189" s="213"/>
      <c r="AH189" s="213"/>
      <c r="AI189" s="213"/>
      <c r="AJ189" s="215">
        <f>IF(F189="","",LOOKUP(C189,'Gem types'!$I$3:$I$29,'Gem types'!$K$3:$K$29))</f>
      </c>
      <c r="AK189" s="215"/>
      <c r="AL189" s="215"/>
      <c r="AM189" s="215"/>
      <c r="AN189" s="215">
        <f>IF(F189="","",LOOKUP(C189,'Gem types'!$I$3:$I$29,'Gem types'!$L$3:$L$29))</f>
      </c>
      <c r="AO189" s="215"/>
      <c r="AP189" s="215"/>
      <c r="AQ189" s="215"/>
      <c r="AS189" s="219">
        <f t="shared" si="25"/>
      </c>
      <c r="AT189" s="219"/>
    </row>
    <row r="190" spans="1:46" s="99" customFormat="1" ht="21" customHeight="1">
      <c r="A190" s="127">
        <f>'Treasurer Creator'!AC30</f>
        <v>0</v>
      </c>
      <c r="B190" s="127">
        <f ca="1" t="shared" si="23"/>
        <v>26</v>
      </c>
      <c r="C190" s="128">
        <f ca="1" t="shared" si="24"/>
        <v>11</v>
      </c>
      <c r="D190" s="128">
        <f>SUM(LOOKUP(B190,'Gem types'!$B$3:$B$55,'Gem types'!$G$3:$G$55),PRODUCT(LOOKUP(B190,'Gem types'!$B$3:$B$55,'Gem types'!$G$3:$G$55),LOOKUP(C190,'Gem types'!$I$3:$I$29,'Gem types'!$J$3:$J$29)))</f>
        <v>130</v>
      </c>
      <c r="E190" s="98">
        <f t="shared" si="26"/>
      </c>
      <c r="F190" s="213">
        <f>IF(E190="","",LOOKUP(B190,'Gem types'!B3:C55,'Gem types'!C3:C55))</f>
      </c>
      <c r="G190" s="213"/>
      <c r="H190" s="213"/>
      <c r="I190" s="213"/>
      <c r="J190" s="213"/>
      <c r="K190" s="213"/>
      <c r="L190" s="213"/>
      <c r="M190" s="213"/>
      <c r="N190" s="213"/>
      <c r="O190" s="213">
        <f>IF(E190="","",LOOKUP(B190,'Gem types'!$B$3:$C$55,'Gem types'!$D$3:$D$55))</f>
      </c>
      <c r="P190" s="213"/>
      <c r="Q190" s="213"/>
      <c r="R190" s="213"/>
      <c r="S190" s="213"/>
      <c r="T190" s="213"/>
      <c r="U190" s="213"/>
      <c r="V190" s="213"/>
      <c r="W190" s="213"/>
      <c r="X190" s="213">
        <f>IF(E190="","",LOOKUP(B190,'Gem types'!$B$3:$C$55,'Gem types'!$F$3:$F$55))</f>
      </c>
      <c r="Y190" s="213"/>
      <c r="Z190" s="213"/>
      <c r="AA190" s="213"/>
      <c r="AB190" s="213"/>
      <c r="AC190" s="213"/>
      <c r="AD190" s="213"/>
      <c r="AE190" s="213"/>
      <c r="AF190" s="215">
        <f t="shared" si="22"/>
      </c>
      <c r="AG190" s="213"/>
      <c r="AH190" s="213"/>
      <c r="AI190" s="213"/>
      <c r="AJ190" s="215">
        <f>IF(F190="","",LOOKUP(C190,'Gem types'!$I$3:$I$29,'Gem types'!$K$3:$K$29))</f>
      </c>
      <c r="AK190" s="215"/>
      <c r="AL190" s="215"/>
      <c r="AM190" s="215"/>
      <c r="AN190" s="215">
        <f>IF(F190="","",LOOKUP(C190,'Gem types'!$I$3:$I$29,'Gem types'!$L$3:$L$29))</f>
      </c>
      <c r="AO190" s="215"/>
      <c r="AP190" s="215"/>
      <c r="AQ190" s="215"/>
      <c r="AS190" s="219">
        <f t="shared" si="25"/>
      </c>
      <c r="AT190" s="219"/>
    </row>
    <row r="191" spans="1:46" s="99" customFormat="1" ht="21" customHeight="1">
      <c r="A191" s="127">
        <f>'Treasurer Creator'!AC30</f>
        <v>0</v>
      </c>
      <c r="B191" s="127">
        <f ca="1" t="shared" si="23"/>
        <v>30</v>
      </c>
      <c r="C191" s="128">
        <f ca="1" t="shared" si="24"/>
        <v>14</v>
      </c>
      <c r="D191" s="128">
        <f>SUM(LOOKUP(B191,'Gem types'!$B$3:$B$55,'Gem types'!$G$3:$G$55),PRODUCT(LOOKUP(B191,'Gem types'!$B$3:$B$55,'Gem types'!$G$3:$G$55),LOOKUP(C191,'Gem types'!$I$3:$I$29,'Gem types'!$J$3:$J$29)))</f>
        <v>160</v>
      </c>
      <c r="E191" s="98">
        <f t="shared" si="26"/>
      </c>
      <c r="F191" s="213">
        <f>IF(E191="","",LOOKUP(B191,'Gem types'!B3:C55,'Gem types'!C3:C55))</f>
      </c>
      <c r="G191" s="213"/>
      <c r="H191" s="213"/>
      <c r="I191" s="213"/>
      <c r="J191" s="213"/>
      <c r="K191" s="213"/>
      <c r="L191" s="213"/>
      <c r="M191" s="213"/>
      <c r="N191" s="213"/>
      <c r="O191" s="213">
        <f>IF(E191="","",LOOKUP(B191,'Gem types'!$B$3:$C$55,'Gem types'!$D$3:$D$55))</f>
      </c>
      <c r="P191" s="213"/>
      <c r="Q191" s="213"/>
      <c r="R191" s="213"/>
      <c r="S191" s="213"/>
      <c r="T191" s="213"/>
      <c r="U191" s="213"/>
      <c r="V191" s="213"/>
      <c r="W191" s="213"/>
      <c r="X191" s="213">
        <f>IF(E191="","",LOOKUP(B191,'Gem types'!$B$3:$C$55,'Gem types'!$F$3:$F$55))</f>
      </c>
      <c r="Y191" s="213"/>
      <c r="Z191" s="213"/>
      <c r="AA191" s="213"/>
      <c r="AB191" s="213"/>
      <c r="AC191" s="213"/>
      <c r="AD191" s="213"/>
      <c r="AE191" s="213"/>
      <c r="AF191" s="215">
        <f t="shared" si="22"/>
      </c>
      <c r="AG191" s="213"/>
      <c r="AH191" s="213"/>
      <c r="AI191" s="213"/>
      <c r="AJ191" s="215">
        <f>IF(F191="","",LOOKUP(C191,'Gem types'!$I$3:$I$29,'Gem types'!$K$3:$K$29))</f>
      </c>
      <c r="AK191" s="215"/>
      <c r="AL191" s="215"/>
      <c r="AM191" s="215"/>
      <c r="AN191" s="215">
        <f>IF(F191="","",LOOKUP(C191,'Gem types'!$I$3:$I$29,'Gem types'!$L$3:$L$29))</f>
      </c>
      <c r="AO191" s="215"/>
      <c r="AP191" s="215"/>
      <c r="AQ191" s="215"/>
      <c r="AS191" s="219">
        <f t="shared" si="25"/>
      </c>
      <c r="AT191" s="219"/>
    </row>
    <row r="192" spans="1:46" s="99" customFormat="1" ht="21" customHeight="1">
      <c r="A192" s="127">
        <f>'Treasurer Creator'!AC30</f>
        <v>0</v>
      </c>
      <c r="B192" s="127">
        <f ca="1" t="shared" si="23"/>
        <v>43</v>
      </c>
      <c r="C192" s="128">
        <f ca="1" t="shared" si="24"/>
        <v>24</v>
      </c>
      <c r="D192" s="128">
        <f>SUM(LOOKUP(B192,'Gem types'!$B$3:$B$55,'Gem types'!$G$3:$G$55),PRODUCT(LOOKUP(B192,'Gem types'!$B$3:$B$55,'Gem types'!$G$3:$G$55),LOOKUP(C192,'Gem types'!$I$3:$I$29,'Gem types'!$J$3:$J$29)))</f>
        <v>500</v>
      </c>
      <c r="E192" s="98">
        <f t="shared" si="26"/>
      </c>
      <c r="F192" s="213">
        <f>IF(E192="","",LOOKUP(B192,'Gem types'!B3:C55,'Gem types'!C3:C55))</f>
      </c>
      <c r="G192" s="213"/>
      <c r="H192" s="213"/>
      <c r="I192" s="213"/>
      <c r="J192" s="213"/>
      <c r="K192" s="213"/>
      <c r="L192" s="213"/>
      <c r="M192" s="213"/>
      <c r="N192" s="213"/>
      <c r="O192" s="213">
        <f>IF(E192="","",LOOKUP(B192,'Gem types'!$B$3:$C$55,'Gem types'!$D$3:$D$55))</f>
      </c>
      <c r="P192" s="213"/>
      <c r="Q192" s="213"/>
      <c r="R192" s="213"/>
      <c r="S192" s="213"/>
      <c r="T192" s="213"/>
      <c r="U192" s="213"/>
      <c r="V192" s="213"/>
      <c r="W192" s="213"/>
      <c r="X192" s="213">
        <f>IF(E192="","",LOOKUP(B192,'Gem types'!$B$3:$C$55,'Gem types'!$F$3:$F$55))</f>
      </c>
      <c r="Y192" s="213"/>
      <c r="Z192" s="213"/>
      <c r="AA192" s="213"/>
      <c r="AB192" s="213"/>
      <c r="AC192" s="213"/>
      <c r="AD192" s="213"/>
      <c r="AE192" s="213"/>
      <c r="AF192" s="215">
        <f t="shared" si="22"/>
      </c>
      <c r="AG192" s="213"/>
      <c r="AH192" s="213"/>
      <c r="AI192" s="213"/>
      <c r="AJ192" s="215">
        <f>IF(F192="","",LOOKUP(C192,'Gem types'!$I$3:$I$29,'Gem types'!$K$3:$K$29))</f>
      </c>
      <c r="AK192" s="215"/>
      <c r="AL192" s="215"/>
      <c r="AM192" s="215"/>
      <c r="AN192" s="215">
        <f>IF(F192="","",LOOKUP(C192,'Gem types'!$I$3:$I$29,'Gem types'!$L$3:$L$29))</f>
      </c>
      <c r="AO192" s="215"/>
      <c r="AP192" s="215"/>
      <c r="AQ192" s="215"/>
      <c r="AS192" s="219">
        <f t="shared" si="25"/>
      </c>
      <c r="AT192" s="219"/>
    </row>
    <row r="193" spans="1:46" s="99" customFormat="1" ht="21" customHeight="1">
      <c r="A193" s="127">
        <f>'Treasurer Creator'!AC30</f>
        <v>0</v>
      </c>
      <c r="B193" s="127">
        <f ca="1" t="shared" si="23"/>
        <v>42</v>
      </c>
      <c r="C193" s="128">
        <f ca="1" t="shared" si="24"/>
        <v>12</v>
      </c>
      <c r="D193" s="128">
        <f>SUM(LOOKUP(B193,'Gem types'!$B$3:$B$55,'Gem types'!$G$3:$G$55),PRODUCT(LOOKUP(B193,'Gem types'!$B$3:$B$55,'Gem types'!$G$3:$G$55),LOOKUP(C193,'Gem types'!$I$3:$I$29,'Gem types'!$J$3:$J$29)))</f>
        <v>7000</v>
      </c>
      <c r="E193" s="98">
        <f t="shared" si="26"/>
      </c>
      <c r="F193" s="213">
        <f>IF(E193="","",LOOKUP(B193,'Gem types'!B3:C55,'Gem types'!C3:C55))</f>
      </c>
      <c r="G193" s="213"/>
      <c r="H193" s="213"/>
      <c r="I193" s="213"/>
      <c r="J193" s="213"/>
      <c r="K193" s="213"/>
      <c r="L193" s="213"/>
      <c r="M193" s="213"/>
      <c r="N193" s="213"/>
      <c r="O193" s="213">
        <f>IF(E193="","",LOOKUP(B193,'Gem types'!$B$3:$C$55,'Gem types'!$D$3:$D$55))</f>
      </c>
      <c r="P193" s="213"/>
      <c r="Q193" s="213"/>
      <c r="R193" s="213"/>
      <c r="S193" s="213"/>
      <c r="T193" s="213"/>
      <c r="U193" s="213"/>
      <c r="V193" s="213"/>
      <c r="W193" s="213"/>
      <c r="X193" s="213">
        <f>IF(E193="","",LOOKUP(B193,'Gem types'!$B$3:$C$55,'Gem types'!$F$3:$F$55))</f>
      </c>
      <c r="Y193" s="213"/>
      <c r="Z193" s="213"/>
      <c r="AA193" s="213"/>
      <c r="AB193" s="213"/>
      <c r="AC193" s="213"/>
      <c r="AD193" s="213"/>
      <c r="AE193" s="213"/>
      <c r="AF193" s="215">
        <f t="shared" si="22"/>
      </c>
      <c r="AG193" s="213"/>
      <c r="AH193" s="213"/>
      <c r="AI193" s="213"/>
      <c r="AJ193" s="215">
        <f>IF(F193="","",LOOKUP(C193,'Gem types'!$I$3:$I$29,'Gem types'!$K$3:$K$29))</f>
      </c>
      <c r="AK193" s="215"/>
      <c r="AL193" s="215"/>
      <c r="AM193" s="215"/>
      <c r="AN193" s="215">
        <f>IF(F193="","",LOOKUP(C193,'Gem types'!$I$3:$I$29,'Gem types'!$L$3:$L$29))</f>
      </c>
      <c r="AO193" s="215"/>
      <c r="AP193" s="215"/>
      <c r="AQ193" s="215"/>
      <c r="AS193" s="219">
        <f t="shared" si="25"/>
      </c>
      <c r="AT193" s="219"/>
    </row>
    <row r="194" spans="1:46" s="99" customFormat="1" ht="21" customHeight="1">
      <c r="A194" s="127">
        <f>'Treasurer Creator'!AC30</f>
        <v>0</v>
      </c>
      <c r="B194" s="127">
        <f ca="1" t="shared" si="23"/>
        <v>32</v>
      </c>
      <c r="C194" s="128">
        <f ca="1" t="shared" si="24"/>
        <v>25</v>
      </c>
      <c r="D194" s="128">
        <f>SUM(LOOKUP(B194,'Gem types'!$B$3:$B$55,'Gem types'!$G$3:$G$55),PRODUCT(LOOKUP(B194,'Gem types'!$B$3:$B$55,'Gem types'!$G$3:$G$55),LOOKUP(C194,'Gem types'!$I$3:$I$29,'Gem types'!$J$3:$J$29)))</f>
        <v>100</v>
      </c>
      <c r="E194" s="98">
        <f t="shared" si="26"/>
      </c>
      <c r="F194" s="213">
        <f>IF(E194="","",LOOKUP(B194,'Gem types'!B3:C55,'Gem types'!C3:C55))</f>
      </c>
      <c r="G194" s="213"/>
      <c r="H194" s="213"/>
      <c r="I194" s="213"/>
      <c r="J194" s="213"/>
      <c r="K194" s="213"/>
      <c r="L194" s="213"/>
      <c r="M194" s="213"/>
      <c r="N194" s="213"/>
      <c r="O194" s="213">
        <f>IF(E194="","",LOOKUP(B194,'Gem types'!$B$3:$C$55,'Gem types'!$D$3:$D$55))</f>
      </c>
      <c r="P194" s="213"/>
      <c r="Q194" s="213"/>
      <c r="R194" s="213"/>
      <c r="S194" s="213"/>
      <c r="T194" s="213"/>
      <c r="U194" s="213"/>
      <c r="V194" s="213"/>
      <c r="W194" s="213"/>
      <c r="X194" s="213">
        <f>IF(E194="","",LOOKUP(B194,'Gem types'!$B$3:$C$55,'Gem types'!$F$3:$F$55))</f>
      </c>
      <c r="Y194" s="213"/>
      <c r="Z194" s="213"/>
      <c r="AA194" s="213"/>
      <c r="AB194" s="213"/>
      <c r="AC194" s="213"/>
      <c r="AD194" s="213"/>
      <c r="AE194" s="213"/>
      <c r="AF194" s="215">
        <f t="shared" si="22"/>
      </c>
      <c r="AG194" s="213"/>
      <c r="AH194" s="213"/>
      <c r="AI194" s="213"/>
      <c r="AJ194" s="215">
        <f>IF(F194="","",LOOKUP(C194,'Gem types'!$I$3:$I$29,'Gem types'!$K$3:$K$29))</f>
      </c>
      <c r="AK194" s="215"/>
      <c r="AL194" s="215"/>
      <c r="AM194" s="215"/>
      <c r="AN194" s="215">
        <f>IF(F194="","",LOOKUP(C194,'Gem types'!$I$3:$I$29,'Gem types'!$L$3:$L$29))</f>
      </c>
      <c r="AO194" s="215"/>
      <c r="AP194" s="215"/>
      <c r="AQ194" s="215"/>
      <c r="AS194" s="219">
        <f t="shared" si="25"/>
      </c>
      <c r="AT194" s="219"/>
    </row>
    <row r="195" spans="1:46" s="99" customFormat="1" ht="21" customHeight="1">
      <c r="A195" s="127">
        <f>'Treasurer Creator'!AC30</f>
        <v>0</v>
      </c>
      <c r="B195" s="127">
        <f ca="1" t="shared" si="23"/>
        <v>43</v>
      </c>
      <c r="C195" s="128">
        <f ca="1" t="shared" si="24"/>
        <v>4</v>
      </c>
      <c r="D195" s="128">
        <f>SUM(LOOKUP(B195,'Gem types'!$B$3:$B$55,'Gem types'!$G$3:$G$55),PRODUCT(LOOKUP(B195,'Gem types'!$B$3:$B$55,'Gem types'!$G$3:$G$55),LOOKUP(C195,'Gem types'!$I$3:$I$29,'Gem types'!$J$3:$J$29)))</f>
        <v>3000</v>
      </c>
      <c r="E195" s="98">
        <f t="shared" si="26"/>
      </c>
      <c r="F195" s="213">
        <f>IF(E195="","",LOOKUP(B195,'Gem types'!B3:C55,'Gem types'!C3:C55))</f>
      </c>
      <c r="G195" s="213"/>
      <c r="H195" s="213"/>
      <c r="I195" s="213"/>
      <c r="J195" s="213"/>
      <c r="K195" s="213"/>
      <c r="L195" s="213"/>
      <c r="M195" s="213"/>
      <c r="N195" s="213"/>
      <c r="O195" s="213">
        <f>IF(E195="","",LOOKUP(B195,'Gem types'!$B$3:$C$55,'Gem types'!$D$3:$D$55))</f>
      </c>
      <c r="P195" s="213"/>
      <c r="Q195" s="213"/>
      <c r="R195" s="213"/>
      <c r="S195" s="213"/>
      <c r="T195" s="213"/>
      <c r="U195" s="213"/>
      <c r="V195" s="213"/>
      <c r="W195" s="213"/>
      <c r="X195" s="213">
        <f>IF(E195="","",LOOKUP(B195,'Gem types'!$B$3:$C$55,'Gem types'!$F$3:$F$55))</f>
      </c>
      <c r="Y195" s="213"/>
      <c r="Z195" s="213"/>
      <c r="AA195" s="213"/>
      <c r="AB195" s="213"/>
      <c r="AC195" s="213"/>
      <c r="AD195" s="213"/>
      <c r="AE195" s="213"/>
      <c r="AF195" s="215">
        <f t="shared" si="22"/>
      </c>
      <c r="AG195" s="213"/>
      <c r="AH195" s="213"/>
      <c r="AI195" s="213"/>
      <c r="AJ195" s="215">
        <f>IF(F195="","",LOOKUP(C195,'Gem types'!$I$3:$I$29,'Gem types'!$K$3:$K$29))</f>
      </c>
      <c r="AK195" s="215"/>
      <c r="AL195" s="215"/>
      <c r="AM195" s="215"/>
      <c r="AN195" s="215">
        <f>IF(F195="","",LOOKUP(C195,'Gem types'!$I$3:$I$29,'Gem types'!$L$3:$L$29))</f>
      </c>
      <c r="AO195" s="215"/>
      <c r="AP195" s="215"/>
      <c r="AQ195" s="215"/>
      <c r="AS195" s="219">
        <f t="shared" si="25"/>
      </c>
      <c r="AT195" s="219"/>
    </row>
    <row r="196" spans="1:46" s="99" customFormat="1" ht="21" customHeight="1">
      <c r="A196" s="127">
        <f>'Treasurer Creator'!AC30</f>
        <v>0</v>
      </c>
      <c r="B196" s="127">
        <f aca="true" ca="1" t="shared" si="27" ref="B196:B203">RANDBETWEEN(1,53)</f>
        <v>43</v>
      </c>
      <c r="C196" s="128">
        <f aca="true" ca="1" t="shared" si="28" ref="C196:C203">RANDBETWEEN(1,27)</f>
        <v>16</v>
      </c>
      <c r="D196" s="128">
        <f>SUM(LOOKUP(B196,'Gem types'!$B$3:$B$55,'Gem types'!$G$3:$G$55),PRODUCT(LOOKUP(B196,'Gem types'!$B$3:$B$55,'Gem types'!$G$3:$G$55),LOOKUP(C196,'Gem types'!$I$3:$I$29,'Gem types'!$J$3:$J$29)))</f>
        <v>3000</v>
      </c>
      <c r="E196" s="98">
        <f t="shared" si="26"/>
      </c>
      <c r="F196" s="213">
        <f>IF(E196="","",LOOKUP(B196,'Gem types'!B3:C55,'Gem types'!C3:C55))</f>
      </c>
      <c r="G196" s="213"/>
      <c r="H196" s="213"/>
      <c r="I196" s="213"/>
      <c r="J196" s="213"/>
      <c r="K196" s="213"/>
      <c r="L196" s="213"/>
      <c r="M196" s="213"/>
      <c r="N196" s="213"/>
      <c r="O196" s="213">
        <f>IF(E196="","",LOOKUP(B196,'Gem types'!$B$3:$C$55,'Gem types'!$D$3:$D$55))</f>
      </c>
      <c r="P196" s="213"/>
      <c r="Q196" s="213"/>
      <c r="R196" s="213"/>
      <c r="S196" s="213"/>
      <c r="T196" s="213"/>
      <c r="U196" s="213"/>
      <c r="V196" s="213"/>
      <c r="W196" s="213"/>
      <c r="X196" s="213">
        <f>IF(E196="","",LOOKUP(B196,'Gem types'!$B$3:$C$55,'Gem types'!$F$3:$F$55))</f>
      </c>
      <c r="Y196" s="213"/>
      <c r="Z196" s="213"/>
      <c r="AA196" s="213"/>
      <c r="AB196" s="213"/>
      <c r="AC196" s="213"/>
      <c r="AD196" s="213"/>
      <c r="AE196" s="213"/>
      <c r="AF196" s="215">
        <f t="shared" si="22"/>
      </c>
      <c r="AG196" s="213"/>
      <c r="AH196" s="213"/>
      <c r="AI196" s="213"/>
      <c r="AJ196" s="215">
        <f>IF(F196="","",LOOKUP(C196,'Gem types'!$I$3:$I$29,'Gem types'!$K$3:$K$29))</f>
      </c>
      <c r="AK196" s="215"/>
      <c r="AL196" s="215"/>
      <c r="AM196" s="215"/>
      <c r="AN196" s="215">
        <f>IF(F196="","",LOOKUP(C196,'Gem types'!$I$3:$I$29,'Gem types'!$L$3:$L$29))</f>
      </c>
      <c r="AO196" s="215"/>
      <c r="AP196" s="215"/>
      <c r="AQ196" s="215"/>
      <c r="AS196" s="219">
        <f aca="true" t="shared" si="29" ref="AS196:AS203">IF(E196="","",ROUNDUP(D196,0))</f>
      </c>
      <c r="AT196" s="219"/>
    </row>
    <row r="197" spans="1:46" s="99" customFormat="1" ht="21" customHeight="1">
      <c r="A197" s="127">
        <f>'Treasurer Creator'!AC30</f>
        <v>0</v>
      </c>
      <c r="B197" s="127">
        <f ca="1" t="shared" si="27"/>
        <v>45</v>
      </c>
      <c r="C197" s="128">
        <f ca="1" t="shared" si="28"/>
        <v>15</v>
      </c>
      <c r="D197" s="128">
        <f>SUM(LOOKUP(B197,'Gem types'!$B$3:$B$55,'Gem types'!$G$3:$G$55),PRODUCT(LOOKUP(B197,'Gem types'!$B$3:$B$55,'Gem types'!$G$3:$G$55),LOOKUP(C197,'Gem types'!$I$3:$I$29,'Gem types'!$J$3:$J$29)))</f>
        <v>10000</v>
      </c>
      <c r="E197" s="98">
        <f aca="true" t="shared" si="30" ref="E197:E203">IF(A197&gt;E196,SUM(E196+1),"")</f>
      </c>
      <c r="F197" s="213">
        <f>IF(E197="","",LOOKUP(B197,'Gem types'!B3:C55,'Gem types'!C3:C55))</f>
      </c>
      <c r="G197" s="213"/>
      <c r="H197" s="213"/>
      <c r="I197" s="213"/>
      <c r="J197" s="213"/>
      <c r="K197" s="213"/>
      <c r="L197" s="213"/>
      <c r="M197" s="213"/>
      <c r="N197" s="213"/>
      <c r="O197" s="213">
        <f>IF(E197="","",LOOKUP(B197,'Gem types'!$B$3:$C$55,'Gem types'!$D$3:$D$55))</f>
      </c>
      <c r="P197" s="213"/>
      <c r="Q197" s="213"/>
      <c r="R197" s="213"/>
      <c r="S197" s="213"/>
      <c r="T197" s="213"/>
      <c r="U197" s="213"/>
      <c r="V197" s="213"/>
      <c r="W197" s="213"/>
      <c r="X197" s="213">
        <f>IF(E197="","",LOOKUP(B197,'Gem types'!$B$3:$C$55,'Gem types'!$F$3:$F$55))</f>
      </c>
      <c r="Y197" s="213"/>
      <c r="Z197" s="213"/>
      <c r="AA197" s="213"/>
      <c r="AB197" s="213"/>
      <c r="AC197" s="213"/>
      <c r="AD197" s="213"/>
      <c r="AE197" s="213"/>
      <c r="AF197" s="215">
        <f aca="true" t="shared" si="31" ref="AF197:AF203">IF(F197="","",CONCATENATE(AS197," g.p."))</f>
      </c>
      <c r="AG197" s="213"/>
      <c r="AH197" s="213"/>
      <c r="AI197" s="213"/>
      <c r="AJ197" s="215">
        <f>IF(F197="","",LOOKUP(C197,'Gem types'!$I$3:$I$29,'Gem types'!$K$3:$K$29))</f>
      </c>
      <c r="AK197" s="215"/>
      <c r="AL197" s="215"/>
      <c r="AM197" s="215"/>
      <c r="AN197" s="215">
        <f>IF(F197="","",LOOKUP(C197,'Gem types'!$I$3:$I$29,'Gem types'!$L$3:$L$29))</f>
      </c>
      <c r="AO197" s="215"/>
      <c r="AP197" s="215"/>
      <c r="AQ197" s="215"/>
      <c r="AS197" s="219">
        <f t="shared" si="29"/>
      </c>
      <c r="AT197" s="219"/>
    </row>
    <row r="198" spans="1:46" s="99" customFormat="1" ht="21" customHeight="1">
      <c r="A198" s="127">
        <f>'Treasurer Creator'!AC30</f>
        <v>0</v>
      </c>
      <c r="B198" s="127">
        <f ca="1" t="shared" si="27"/>
        <v>24</v>
      </c>
      <c r="C198" s="128">
        <f ca="1" t="shared" si="28"/>
        <v>9</v>
      </c>
      <c r="D198" s="128">
        <f>SUM(LOOKUP(B198,'Gem types'!$B$3:$B$55,'Gem types'!$G$3:$G$55),PRODUCT(LOOKUP(B198,'Gem types'!$B$3:$B$55,'Gem types'!$G$3:$G$55),LOOKUP(C198,'Gem types'!$I$3:$I$29,'Gem types'!$J$3:$J$29)))</f>
        <v>55</v>
      </c>
      <c r="E198" s="98">
        <f t="shared" si="30"/>
      </c>
      <c r="F198" s="213">
        <f>IF(E198="","",LOOKUP(B198,'Gem types'!B3:C55,'Gem types'!C3:C55))</f>
      </c>
      <c r="G198" s="213"/>
      <c r="H198" s="213"/>
      <c r="I198" s="213"/>
      <c r="J198" s="213"/>
      <c r="K198" s="213"/>
      <c r="L198" s="213"/>
      <c r="M198" s="213"/>
      <c r="N198" s="213"/>
      <c r="O198" s="213">
        <f>IF(E198="","",LOOKUP(B198,'Gem types'!$B$3:$C$55,'Gem types'!$D$3:$D$55))</f>
      </c>
      <c r="P198" s="213"/>
      <c r="Q198" s="213"/>
      <c r="R198" s="213"/>
      <c r="S198" s="213"/>
      <c r="T198" s="213"/>
      <c r="U198" s="213"/>
      <c r="V198" s="213"/>
      <c r="W198" s="213"/>
      <c r="X198" s="213">
        <f>IF(E198="","",LOOKUP(B198,'Gem types'!$B$3:$C$55,'Gem types'!$F$3:$F$55))</f>
      </c>
      <c r="Y198" s="213"/>
      <c r="Z198" s="213"/>
      <c r="AA198" s="213"/>
      <c r="AB198" s="213"/>
      <c r="AC198" s="213"/>
      <c r="AD198" s="213"/>
      <c r="AE198" s="213"/>
      <c r="AF198" s="215">
        <f t="shared" si="31"/>
      </c>
      <c r="AG198" s="213"/>
      <c r="AH198" s="213"/>
      <c r="AI198" s="213"/>
      <c r="AJ198" s="215">
        <f>IF(F198="","",LOOKUP(C198,'Gem types'!$I$3:$I$29,'Gem types'!$K$3:$K$29))</f>
      </c>
      <c r="AK198" s="215"/>
      <c r="AL198" s="215"/>
      <c r="AM198" s="215"/>
      <c r="AN198" s="215">
        <f>IF(F198="","",LOOKUP(C198,'Gem types'!$I$3:$I$29,'Gem types'!$L$3:$L$29))</f>
      </c>
      <c r="AO198" s="215"/>
      <c r="AP198" s="215"/>
      <c r="AQ198" s="215"/>
      <c r="AS198" s="219">
        <f t="shared" si="29"/>
      </c>
      <c r="AT198" s="219"/>
    </row>
    <row r="199" spans="1:46" s="99" customFormat="1" ht="21" customHeight="1">
      <c r="A199" s="127">
        <f>'Treasurer Creator'!AC30</f>
        <v>0</v>
      </c>
      <c r="B199" s="127">
        <f ca="1" t="shared" si="27"/>
        <v>16</v>
      </c>
      <c r="C199" s="128">
        <f ca="1" t="shared" si="28"/>
        <v>2</v>
      </c>
      <c r="D199" s="128">
        <f>SUM(LOOKUP(B199,'Gem types'!$B$3:$B$55,'Gem types'!$G$3:$G$55),PRODUCT(LOOKUP(B199,'Gem types'!$B$3:$B$55,'Gem types'!$G$3:$G$55),LOOKUP(C199,'Gem types'!$I$3:$I$29,'Gem types'!$J$3:$J$29)))</f>
        <v>550</v>
      </c>
      <c r="E199" s="98">
        <f t="shared" si="30"/>
      </c>
      <c r="F199" s="213">
        <f>IF(E199="","",LOOKUP(B199,'Gem types'!B3:C55,'Gem types'!C3:C55))</f>
      </c>
      <c r="G199" s="213"/>
      <c r="H199" s="213"/>
      <c r="I199" s="213"/>
      <c r="J199" s="213"/>
      <c r="K199" s="213"/>
      <c r="L199" s="213"/>
      <c r="M199" s="213"/>
      <c r="N199" s="213"/>
      <c r="O199" s="213">
        <f>IF(E199="","",LOOKUP(B199,'Gem types'!$B$3:$C$55,'Gem types'!$D$3:$D$55))</f>
      </c>
      <c r="P199" s="213"/>
      <c r="Q199" s="213"/>
      <c r="R199" s="213"/>
      <c r="S199" s="213"/>
      <c r="T199" s="213"/>
      <c r="U199" s="213"/>
      <c r="V199" s="213"/>
      <c r="W199" s="213"/>
      <c r="X199" s="213">
        <f>IF(E199="","",LOOKUP(B199,'Gem types'!$B$3:$C$55,'Gem types'!$F$3:$F$55))</f>
      </c>
      <c r="Y199" s="213"/>
      <c r="Z199" s="213"/>
      <c r="AA199" s="213"/>
      <c r="AB199" s="213"/>
      <c r="AC199" s="213"/>
      <c r="AD199" s="213"/>
      <c r="AE199" s="213"/>
      <c r="AF199" s="215">
        <f t="shared" si="31"/>
      </c>
      <c r="AG199" s="213"/>
      <c r="AH199" s="213"/>
      <c r="AI199" s="213"/>
      <c r="AJ199" s="215">
        <f>IF(F199="","",LOOKUP(C199,'Gem types'!$I$3:$I$29,'Gem types'!$K$3:$K$29))</f>
      </c>
      <c r="AK199" s="215"/>
      <c r="AL199" s="215"/>
      <c r="AM199" s="215"/>
      <c r="AN199" s="215">
        <f>IF(F199="","",LOOKUP(C199,'Gem types'!$I$3:$I$29,'Gem types'!$L$3:$L$29))</f>
      </c>
      <c r="AO199" s="215"/>
      <c r="AP199" s="215"/>
      <c r="AQ199" s="215"/>
      <c r="AS199" s="219">
        <f t="shared" si="29"/>
      </c>
      <c r="AT199" s="219"/>
    </row>
    <row r="200" spans="1:46" s="99" customFormat="1" ht="21" customHeight="1">
      <c r="A200" s="127">
        <f>'Treasurer Creator'!AC30</f>
        <v>0</v>
      </c>
      <c r="B200" s="127">
        <f ca="1" t="shared" si="27"/>
        <v>44</v>
      </c>
      <c r="C200" s="128">
        <f ca="1" t="shared" si="28"/>
        <v>16</v>
      </c>
      <c r="D200" s="128">
        <f>SUM(LOOKUP(B200,'Gem types'!$B$3:$B$55,'Gem types'!$G$3:$G$55),PRODUCT(LOOKUP(B200,'Gem types'!$B$3:$B$55,'Gem types'!$G$3:$G$55),LOOKUP(C200,'Gem types'!$I$3:$I$29,'Gem types'!$J$3:$J$29)))</f>
        <v>3000</v>
      </c>
      <c r="E200" s="98">
        <f t="shared" si="30"/>
      </c>
      <c r="F200" s="213">
        <f>IF(E200="","",LOOKUP(B200,'Gem types'!B3:C55,'Gem types'!C3:C55))</f>
      </c>
      <c r="G200" s="213"/>
      <c r="H200" s="213"/>
      <c r="I200" s="213"/>
      <c r="J200" s="213"/>
      <c r="K200" s="213"/>
      <c r="L200" s="213"/>
      <c r="M200" s="213"/>
      <c r="N200" s="213"/>
      <c r="O200" s="213">
        <f>IF(E200="","",LOOKUP(B200,'Gem types'!$B$3:$C$55,'Gem types'!$D$3:$D$55))</f>
      </c>
      <c r="P200" s="213"/>
      <c r="Q200" s="213"/>
      <c r="R200" s="213"/>
      <c r="S200" s="213"/>
      <c r="T200" s="213"/>
      <c r="U200" s="213"/>
      <c r="V200" s="213"/>
      <c r="W200" s="213"/>
      <c r="X200" s="213">
        <f>IF(E200="","",LOOKUP(B200,'Gem types'!$B$3:$C$55,'Gem types'!$F$3:$F$55))</f>
      </c>
      <c r="Y200" s="213"/>
      <c r="Z200" s="213"/>
      <c r="AA200" s="213"/>
      <c r="AB200" s="213"/>
      <c r="AC200" s="213"/>
      <c r="AD200" s="213"/>
      <c r="AE200" s="213"/>
      <c r="AF200" s="215">
        <f t="shared" si="31"/>
      </c>
      <c r="AG200" s="213"/>
      <c r="AH200" s="213"/>
      <c r="AI200" s="213"/>
      <c r="AJ200" s="215">
        <f>IF(F200="","",LOOKUP(C200,'Gem types'!$I$3:$I$29,'Gem types'!$K$3:$K$29))</f>
      </c>
      <c r="AK200" s="215"/>
      <c r="AL200" s="215"/>
      <c r="AM200" s="215"/>
      <c r="AN200" s="215">
        <f>IF(F200="","",LOOKUP(C200,'Gem types'!$I$3:$I$29,'Gem types'!$L$3:$L$29))</f>
      </c>
      <c r="AO200" s="215"/>
      <c r="AP200" s="215"/>
      <c r="AQ200" s="215"/>
      <c r="AS200" s="219">
        <f t="shared" si="29"/>
      </c>
      <c r="AT200" s="219"/>
    </row>
    <row r="201" spans="1:46" s="99" customFormat="1" ht="21" customHeight="1">
      <c r="A201" s="127">
        <f>'Treasurer Creator'!AC30</f>
        <v>0</v>
      </c>
      <c r="B201" s="127">
        <f ca="1" t="shared" si="27"/>
        <v>18</v>
      </c>
      <c r="C201" s="128">
        <f ca="1" t="shared" si="28"/>
        <v>27</v>
      </c>
      <c r="D201" s="128">
        <f>SUM(LOOKUP(B201,'Gem types'!$B$3:$B$55,'Gem types'!$G$3:$G$55),PRODUCT(LOOKUP(B201,'Gem types'!$B$3:$B$55,'Gem types'!$G$3:$G$55),LOOKUP(C201,'Gem types'!$I$3:$I$29,'Gem types'!$J$3:$J$29)))</f>
        <v>10</v>
      </c>
      <c r="E201" s="98">
        <f t="shared" si="30"/>
      </c>
      <c r="F201" s="213">
        <f>IF(E201="","",LOOKUP(B201,'Gem types'!B3:C55,'Gem types'!C3:C55))</f>
      </c>
      <c r="G201" s="213"/>
      <c r="H201" s="213"/>
      <c r="I201" s="213"/>
      <c r="J201" s="213"/>
      <c r="K201" s="213"/>
      <c r="L201" s="213"/>
      <c r="M201" s="213"/>
      <c r="N201" s="213"/>
      <c r="O201" s="213">
        <f>IF(E201="","",LOOKUP(B201,'Gem types'!$B$3:$C$55,'Gem types'!$D$3:$D$55))</f>
      </c>
      <c r="P201" s="213"/>
      <c r="Q201" s="213"/>
      <c r="R201" s="213"/>
      <c r="S201" s="213"/>
      <c r="T201" s="213"/>
      <c r="U201" s="213"/>
      <c r="V201" s="213"/>
      <c r="W201" s="213"/>
      <c r="X201" s="213">
        <f>IF(E201="","",LOOKUP(B201,'Gem types'!$B$3:$C$55,'Gem types'!$F$3:$F$55))</f>
      </c>
      <c r="Y201" s="213"/>
      <c r="Z201" s="213"/>
      <c r="AA201" s="213"/>
      <c r="AB201" s="213"/>
      <c r="AC201" s="213"/>
      <c r="AD201" s="213"/>
      <c r="AE201" s="213"/>
      <c r="AF201" s="215">
        <f t="shared" si="31"/>
      </c>
      <c r="AG201" s="213"/>
      <c r="AH201" s="213"/>
      <c r="AI201" s="213"/>
      <c r="AJ201" s="215">
        <f>IF(F201="","",LOOKUP(C201,'Gem types'!$I$3:$I$29,'Gem types'!$K$3:$K$29))</f>
      </c>
      <c r="AK201" s="215"/>
      <c r="AL201" s="215"/>
      <c r="AM201" s="215"/>
      <c r="AN201" s="215">
        <f>IF(F201="","",LOOKUP(C201,'Gem types'!$I$3:$I$29,'Gem types'!$L$3:$L$29))</f>
      </c>
      <c r="AO201" s="215"/>
      <c r="AP201" s="215"/>
      <c r="AQ201" s="215"/>
      <c r="AS201" s="219">
        <f t="shared" si="29"/>
      </c>
      <c r="AT201" s="219"/>
    </row>
    <row r="202" spans="1:46" s="99" customFormat="1" ht="21" customHeight="1">
      <c r="A202" s="127">
        <f>'Treasurer Creator'!AC30</f>
        <v>0</v>
      </c>
      <c r="B202" s="127">
        <f ca="1" t="shared" si="27"/>
        <v>27</v>
      </c>
      <c r="C202" s="128">
        <f ca="1" t="shared" si="28"/>
        <v>13</v>
      </c>
      <c r="D202" s="128">
        <f>SUM(LOOKUP(B202,'Gem types'!$B$3:$B$55,'Gem types'!$G$3:$G$55),PRODUCT(LOOKUP(B202,'Gem types'!$B$3:$B$55,'Gem types'!$G$3:$G$55),LOOKUP(C202,'Gem types'!$I$3:$I$29,'Gem types'!$J$3:$J$29)))</f>
        <v>150</v>
      </c>
      <c r="E202" s="98">
        <f t="shared" si="30"/>
      </c>
      <c r="F202" s="213">
        <f>IF(E202="","",LOOKUP(B202,'Gem types'!B3:C55,'Gem types'!C3:C55))</f>
      </c>
      <c r="G202" s="213"/>
      <c r="H202" s="213"/>
      <c r="I202" s="213"/>
      <c r="J202" s="213"/>
      <c r="K202" s="213"/>
      <c r="L202" s="213"/>
      <c r="M202" s="213"/>
      <c r="N202" s="213"/>
      <c r="O202" s="213">
        <f>IF(E202="","",LOOKUP(B202,'Gem types'!$B$3:$C$55,'Gem types'!$D$3:$D$55))</f>
      </c>
      <c r="P202" s="213"/>
      <c r="Q202" s="213"/>
      <c r="R202" s="213"/>
      <c r="S202" s="213"/>
      <c r="T202" s="213"/>
      <c r="U202" s="213"/>
      <c r="V202" s="213"/>
      <c r="W202" s="213"/>
      <c r="X202" s="213">
        <f>IF(E202="","",LOOKUP(B202,'Gem types'!$B$3:$C$55,'Gem types'!$F$3:$F$55))</f>
      </c>
      <c r="Y202" s="213"/>
      <c r="Z202" s="213"/>
      <c r="AA202" s="213"/>
      <c r="AB202" s="213"/>
      <c r="AC202" s="213"/>
      <c r="AD202" s="213"/>
      <c r="AE202" s="213"/>
      <c r="AF202" s="215">
        <f t="shared" si="31"/>
      </c>
      <c r="AG202" s="213"/>
      <c r="AH202" s="213"/>
      <c r="AI202" s="213"/>
      <c r="AJ202" s="215">
        <f>IF(F202="","",LOOKUP(C202,'Gem types'!$I$3:$I$29,'Gem types'!$K$3:$K$29))</f>
      </c>
      <c r="AK202" s="215"/>
      <c r="AL202" s="215"/>
      <c r="AM202" s="215"/>
      <c r="AN202" s="215">
        <f>IF(F202="","",LOOKUP(C202,'Gem types'!$I$3:$I$29,'Gem types'!$L$3:$L$29))</f>
      </c>
      <c r="AO202" s="215"/>
      <c r="AP202" s="215"/>
      <c r="AQ202" s="215"/>
      <c r="AS202" s="219">
        <f t="shared" si="29"/>
      </c>
      <c r="AT202" s="219"/>
    </row>
    <row r="203" spans="1:46" s="99" customFormat="1" ht="21" customHeight="1">
      <c r="A203" s="127">
        <f>'Treasurer Creator'!AC30</f>
        <v>0</v>
      </c>
      <c r="B203" s="127">
        <f ca="1" t="shared" si="27"/>
        <v>8</v>
      </c>
      <c r="C203" s="128">
        <f ca="1" t="shared" si="28"/>
        <v>22</v>
      </c>
      <c r="D203" s="128">
        <f>SUM(LOOKUP(B203,'Gem types'!$B$3:$B$55,'Gem types'!$G$3:$G$55),PRODUCT(LOOKUP(B203,'Gem types'!$B$3:$B$55,'Gem types'!$G$3:$G$55),LOOKUP(C203,'Gem types'!$I$3:$I$29,'Gem types'!$J$3:$J$29)))</f>
        <v>7</v>
      </c>
      <c r="E203" s="98">
        <f t="shared" si="30"/>
      </c>
      <c r="F203" s="213">
        <f>IF(E203="","",LOOKUP(B203,'Gem types'!B3:C55,'Gem types'!C3:C55))</f>
      </c>
      <c r="G203" s="213"/>
      <c r="H203" s="213"/>
      <c r="I203" s="213"/>
      <c r="J203" s="213"/>
      <c r="K203" s="213"/>
      <c r="L203" s="213"/>
      <c r="M203" s="213"/>
      <c r="N203" s="213"/>
      <c r="O203" s="213">
        <f>IF(E203="","",LOOKUP(B203,'Gem types'!$B$3:$C$55,'Gem types'!$D$3:$D$55))</f>
      </c>
      <c r="P203" s="213"/>
      <c r="Q203" s="213"/>
      <c r="R203" s="213"/>
      <c r="S203" s="213"/>
      <c r="T203" s="213"/>
      <c r="U203" s="213"/>
      <c r="V203" s="213"/>
      <c r="W203" s="213"/>
      <c r="X203" s="213">
        <f>IF(E203="","",LOOKUP(B203,'Gem types'!$B$3:$C$55,'Gem types'!$F$3:$F$55))</f>
      </c>
      <c r="Y203" s="213"/>
      <c r="Z203" s="213"/>
      <c r="AA203" s="213"/>
      <c r="AB203" s="213"/>
      <c r="AC203" s="213"/>
      <c r="AD203" s="213"/>
      <c r="AE203" s="213"/>
      <c r="AF203" s="215">
        <f t="shared" si="31"/>
      </c>
      <c r="AG203" s="213"/>
      <c r="AH203" s="213"/>
      <c r="AI203" s="213"/>
      <c r="AJ203" s="215">
        <f>IF(F203="","",LOOKUP(C203,'Gem types'!$I$3:$I$29,'Gem types'!$K$3:$K$29))</f>
      </c>
      <c r="AK203" s="215"/>
      <c r="AL203" s="215"/>
      <c r="AM203" s="215"/>
      <c r="AN203" s="215">
        <f>IF(F203="","",LOOKUP(C203,'Gem types'!$I$3:$I$29,'Gem types'!$L$3:$L$29))</f>
      </c>
      <c r="AO203" s="215"/>
      <c r="AP203" s="215"/>
      <c r="AQ203" s="215"/>
      <c r="AS203" s="219">
        <f t="shared" si="29"/>
      </c>
      <c r="AT203" s="219"/>
    </row>
  </sheetData>
  <mergeCells count="1406">
    <mergeCell ref="AS195:AT195"/>
    <mergeCell ref="AS196:AT196"/>
    <mergeCell ref="AS197:AT197"/>
    <mergeCell ref="AS198:AT198"/>
    <mergeCell ref="AS203:AT203"/>
    <mergeCell ref="AS199:AT199"/>
    <mergeCell ref="AS200:AT200"/>
    <mergeCell ref="AS201:AT201"/>
    <mergeCell ref="AS202:AT202"/>
    <mergeCell ref="AS189:AT189"/>
    <mergeCell ref="AS190:AT190"/>
    <mergeCell ref="AS191:AT191"/>
    <mergeCell ref="AS192:AT192"/>
    <mergeCell ref="AS193:AT193"/>
    <mergeCell ref="AS194:AT194"/>
    <mergeCell ref="AS183:AT183"/>
    <mergeCell ref="AS184:AT184"/>
    <mergeCell ref="AS185:AT185"/>
    <mergeCell ref="AS186:AT186"/>
    <mergeCell ref="AS187:AT187"/>
    <mergeCell ref="AS188:AT188"/>
    <mergeCell ref="AS177:AT177"/>
    <mergeCell ref="AS178:AT178"/>
    <mergeCell ref="AS179:AT179"/>
    <mergeCell ref="AS180:AT180"/>
    <mergeCell ref="AS181:AT181"/>
    <mergeCell ref="AS182:AT182"/>
    <mergeCell ref="AS171:AT171"/>
    <mergeCell ref="AS172:AT172"/>
    <mergeCell ref="AS173:AT173"/>
    <mergeCell ref="AS174:AT174"/>
    <mergeCell ref="AS175:AT175"/>
    <mergeCell ref="AS176:AT176"/>
    <mergeCell ref="AS165:AT165"/>
    <mergeCell ref="AS166:AT166"/>
    <mergeCell ref="AS167:AT167"/>
    <mergeCell ref="AS168:AT168"/>
    <mergeCell ref="AS169:AT169"/>
    <mergeCell ref="AS170:AT170"/>
    <mergeCell ref="AS159:AT159"/>
    <mergeCell ref="AS160:AT160"/>
    <mergeCell ref="AS161:AT161"/>
    <mergeCell ref="AS162:AT162"/>
    <mergeCell ref="AS163:AT163"/>
    <mergeCell ref="AS164:AT164"/>
    <mergeCell ref="AS153:AT153"/>
    <mergeCell ref="AS154:AT154"/>
    <mergeCell ref="AS155:AT155"/>
    <mergeCell ref="AS156:AT156"/>
    <mergeCell ref="AS157:AT157"/>
    <mergeCell ref="AS158:AT158"/>
    <mergeCell ref="AS147:AT147"/>
    <mergeCell ref="AS148:AT148"/>
    <mergeCell ref="AS149:AT149"/>
    <mergeCell ref="AS150:AT150"/>
    <mergeCell ref="AS151:AT151"/>
    <mergeCell ref="AS152:AT152"/>
    <mergeCell ref="AS141:AT141"/>
    <mergeCell ref="AS142:AT142"/>
    <mergeCell ref="AS143:AT143"/>
    <mergeCell ref="AS144:AT144"/>
    <mergeCell ref="AS145:AT145"/>
    <mergeCell ref="AS146:AT146"/>
    <mergeCell ref="AS135:AT135"/>
    <mergeCell ref="AS136:AT136"/>
    <mergeCell ref="AS137:AT137"/>
    <mergeCell ref="AS138:AT138"/>
    <mergeCell ref="AS139:AT139"/>
    <mergeCell ref="AS140:AT140"/>
    <mergeCell ref="AS129:AT129"/>
    <mergeCell ref="AS130:AT130"/>
    <mergeCell ref="AS131:AT131"/>
    <mergeCell ref="AS132:AT132"/>
    <mergeCell ref="AS133:AT133"/>
    <mergeCell ref="AS134:AT134"/>
    <mergeCell ref="AS123:AT123"/>
    <mergeCell ref="AS124:AT124"/>
    <mergeCell ref="AS125:AT125"/>
    <mergeCell ref="AS126:AT126"/>
    <mergeCell ref="AS127:AT127"/>
    <mergeCell ref="AS128:AT128"/>
    <mergeCell ref="AS117:AT117"/>
    <mergeCell ref="AS118:AT118"/>
    <mergeCell ref="AS119:AT119"/>
    <mergeCell ref="AS120:AT120"/>
    <mergeCell ref="AS121:AT121"/>
    <mergeCell ref="AS122:AT122"/>
    <mergeCell ref="AS111:AT111"/>
    <mergeCell ref="AS112:AT112"/>
    <mergeCell ref="AS113:AT113"/>
    <mergeCell ref="AS114:AT114"/>
    <mergeCell ref="AS115:AT115"/>
    <mergeCell ref="AS116:AT116"/>
    <mergeCell ref="AS105:AT105"/>
    <mergeCell ref="AS106:AT106"/>
    <mergeCell ref="AS107:AT107"/>
    <mergeCell ref="AS108:AT108"/>
    <mergeCell ref="AS109:AT109"/>
    <mergeCell ref="AS110:AT110"/>
    <mergeCell ref="AS99:AT99"/>
    <mergeCell ref="AS100:AT100"/>
    <mergeCell ref="AS101:AT101"/>
    <mergeCell ref="AS102:AT102"/>
    <mergeCell ref="AS103:AT103"/>
    <mergeCell ref="AS104:AT104"/>
    <mergeCell ref="AS93:AT93"/>
    <mergeCell ref="AS94:AT94"/>
    <mergeCell ref="AS95:AT95"/>
    <mergeCell ref="AS96:AT96"/>
    <mergeCell ref="AS97:AT97"/>
    <mergeCell ref="AS98:AT98"/>
    <mergeCell ref="AS87:AT87"/>
    <mergeCell ref="AS88:AT88"/>
    <mergeCell ref="AS89:AT89"/>
    <mergeCell ref="AS90:AT90"/>
    <mergeCell ref="AS91:AT91"/>
    <mergeCell ref="AS92:AT92"/>
    <mergeCell ref="AS81:AT81"/>
    <mergeCell ref="AS82:AT82"/>
    <mergeCell ref="AS83:AT83"/>
    <mergeCell ref="AS84:AT84"/>
    <mergeCell ref="AS85:AT85"/>
    <mergeCell ref="AS86:AT86"/>
    <mergeCell ref="AS75:AT75"/>
    <mergeCell ref="AS76:AT76"/>
    <mergeCell ref="AS77:AT77"/>
    <mergeCell ref="AS78:AT78"/>
    <mergeCell ref="AS79:AT79"/>
    <mergeCell ref="AS80:AT80"/>
    <mergeCell ref="AS69:AT69"/>
    <mergeCell ref="AS70:AT70"/>
    <mergeCell ref="AS71:AT71"/>
    <mergeCell ref="AS72:AT72"/>
    <mergeCell ref="AS73:AT73"/>
    <mergeCell ref="AS74:AT74"/>
    <mergeCell ref="AS63:AT63"/>
    <mergeCell ref="AS64:AT64"/>
    <mergeCell ref="AS65:AT65"/>
    <mergeCell ref="AS66:AT66"/>
    <mergeCell ref="AS67:AT67"/>
    <mergeCell ref="AS68:AT68"/>
    <mergeCell ref="AS57:AT57"/>
    <mergeCell ref="AS58:AT58"/>
    <mergeCell ref="AS59:AT59"/>
    <mergeCell ref="AS60:AT60"/>
    <mergeCell ref="AS61:AT61"/>
    <mergeCell ref="AS62:AT62"/>
    <mergeCell ref="AS51:AT51"/>
    <mergeCell ref="AS52:AT52"/>
    <mergeCell ref="AS53:AT53"/>
    <mergeCell ref="AS54:AT54"/>
    <mergeCell ref="AS55:AT55"/>
    <mergeCell ref="AS56:AT56"/>
    <mergeCell ref="AS45:AT45"/>
    <mergeCell ref="AS46:AT46"/>
    <mergeCell ref="AS47:AT47"/>
    <mergeCell ref="AS48:AT48"/>
    <mergeCell ref="AS49:AT49"/>
    <mergeCell ref="AS50:AT50"/>
    <mergeCell ref="AS39:AT39"/>
    <mergeCell ref="AS40:AT40"/>
    <mergeCell ref="AS41:AT41"/>
    <mergeCell ref="AS42:AT42"/>
    <mergeCell ref="AS43:AT43"/>
    <mergeCell ref="AS44:AT44"/>
    <mergeCell ref="AS33:AT33"/>
    <mergeCell ref="AS34:AT34"/>
    <mergeCell ref="AS35:AT35"/>
    <mergeCell ref="AS36:AT36"/>
    <mergeCell ref="AS37:AT37"/>
    <mergeCell ref="AS38:AT38"/>
    <mergeCell ref="AS27:AT27"/>
    <mergeCell ref="AS28:AT28"/>
    <mergeCell ref="AS29:AT29"/>
    <mergeCell ref="AS30:AT30"/>
    <mergeCell ref="AS31:AT31"/>
    <mergeCell ref="AS32:AT32"/>
    <mergeCell ref="AS21:AT21"/>
    <mergeCell ref="AS22:AT22"/>
    <mergeCell ref="AS23:AT23"/>
    <mergeCell ref="AS24:AT24"/>
    <mergeCell ref="AS25:AT25"/>
    <mergeCell ref="AS26:AT26"/>
    <mergeCell ref="AS15:AT15"/>
    <mergeCell ref="AS16:AT16"/>
    <mergeCell ref="AS17:AT17"/>
    <mergeCell ref="AS18:AT18"/>
    <mergeCell ref="AS19:AT19"/>
    <mergeCell ref="AS20:AT20"/>
    <mergeCell ref="AS9:AT9"/>
    <mergeCell ref="AS10:AT10"/>
    <mergeCell ref="AS11:AT11"/>
    <mergeCell ref="AS12:AT12"/>
    <mergeCell ref="AS13:AT13"/>
    <mergeCell ref="AS14:AT14"/>
    <mergeCell ref="AN199:AQ199"/>
    <mergeCell ref="AN200:AQ200"/>
    <mergeCell ref="AN201:AQ201"/>
    <mergeCell ref="AN202:AQ202"/>
    <mergeCell ref="AN203:AQ203"/>
    <mergeCell ref="AS4:AT4"/>
    <mergeCell ref="AS5:AT5"/>
    <mergeCell ref="AS6:AT6"/>
    <mergeCell ref="AS7:AT7"/>
    <mergeCell ref="AS8:AT8"/>
    <mergeCell ref="AN193:AQ193"/>
    <mergeCell ref="AN194:AQ194"/>
    <mergeCell ref="AN195:AQ195"/>
    <mergeCell ref="AN196:AQ196"/>
    <mergeCell ref="AN197:AQ197"/>
    <mergeCell ref="AN198:AQ198"/>
    <mergeCell ref="AN187:AQ187"/>
    <mergeCell ref="AN188:AQ188"/>
    <mergeCell ref="AN189:AQ189"/>
    <mergeCell ref="AN190:AQ190"/>
    <mergeCell ref="AN191:AQ191"/>
    <mergeCell ref="AN192:AQ192"/>
    <mergeCell ref="AN181:AQ181"/>
    <mergeCell ref="AN182:AQ182"/>
    <mergeCell ref="AN183:AQ183"/>
    <mergeCell ref="AN184:AQ184"/>
    <mergeCell ref="AN185:AQ185"/>
    <mergeCell ref="AN186:AQ186"/>
    <mergeCell ref="AN175:AQ175"/>
    <mergeCell ref="AN176:AQ176"/>
    <mergeCell ref="AN177:AQ177"/>
    <mergeCell ref="AN178:AQ178"/>
    <mergeCell ref="AN179:AQ179"/>
    <mergeCell ref="AN180:AQ180"/>
    <mergeCell ref="AN169:AQ169"/>
    <mergeCell ref="AN170:AQ170"/>
    <mergeCell ref="AN171:AQ171"/>
    <mergeCell ref="AN172:AQ172"/>
    <mergeCell ref="AN173:AQ173"/>
    <mergeCell ref="AN174:AQ174"/>
    <mergeCell ref="AN163:AQ163"/>
    <mergeCell ref="AN164:AQ164"/>
    <mergeCell ref="AN165:AQ165"/>
    <mergeCell ref="AN166:AQ166"/>
    <mergeCell ref="AN167:AQ167"/>
    <mergeCell ref="AN168:AQ168"/>
    <mergeCell ref="AN157:AQ157"/>
    <mergeCell ref="AN158:AQ158"/>
    <mergeCell ref="AN159:AQ159"/>
    <mergeCell ref="AN160:AQ160"/>
    <mergeCell ref="AN161:AQ161"/>
    <mergeCell ref="AN162:AQ162"/>
    <mergeCell ref="AN151:AQ151"/>
    <mergeCell ref="AN152:AQ152"/>
    <mergeCell ref="AN153:AQ153"/>
    <mergeCell ref="AN154:AQ154"/>
    <mergeCell ref="AN155:AQ155"/>
    <mergeCell ref="AN156:AQ156"/>
    <mergeCell ref="AN145:AQ145"/>
    <mergeCell ref="AN146:AQ146"/>
    <mergeCell ref="AN147:AQ147"/>
    <mergeCell ref="AN148:AQ148"/>
    <mergeCell ref="AN149:AQ149"/>
    <mergeCell ref="AN150:AQ150"/>
    <mergeCell ref="AN139:AQ139"/>
    <mergeCell ref="AN140:AQ140"/>
    <mergeCell ref="AN141:AQ141"/>
    <mergeCell ref="AN142:AQ142"/>
    <mergeCell ref="AN143:AQ143"/>
    <mergeCell ref="AN144:AQ144"/>
    <mergeCell ref="AN133:AQ133"/>
    <mergeCell ref="AN134:AQ134"/>
    <mergeCell ref="AN135:AQ135"/>
    <mergeCell ref="AN136:AQ136"/>
    <mergeCell ref="AN137:AQ137"/>
    <mergeCell ref="AN138:AQ138"/>
    <mergeCell ref="AN127:AQ127"/>
    <mergeCell ref="AN128:AQ128"/>
    <mergeCell ref="AN129:AQ129"/>
    <mergeCell ref="AN130:AQ130"/>
    <mergeCell ref="AN131:AQ131"/>
    <mergeCell ref="AN132:AQ132"/>
    <mergeCell ref="AN121:AQ121"/>
    <mergeCell ref="AN122:AQ122"/>
    <mergeCell ref="AN123:AQ123"/>
    <mergeCell ref="AN124:AQ124"/>
    <mergeCell ref="AN125:AQ125"/>
    <mergeCell ref="AN126:AQ126"/>
    <mergeCell ref="AN115:AQ115"/>
    <mergeCell ref="AN116:AQ116"/>
    <mergeCell ref="AN117:AQ117"/>
    <mergeCell ref="AN118:AQ118"/>
    <mergeCell ref="AN119:AQ119"/>
    <mergeCell ref="AN120:AQ120"/>
    <mergeCell ref="AN109:AQ109"/>
    <mergeCell ref="AN110:AQ110"/>
    <mergeCell ref="AN111:AQ111"/>
    <mergeCell ref="AN112:AQ112"/>
    <mergeCell ref="AN113:AQ113"/>
    <mergeCell ref="AN114:AQ114"/>
    <mergeCell ref="AN103:AQ103"/>
    <mergeCell ref="AN104:AQ104"/>
    <mergeCell ref="AN105:AQ105"/>
    <mergeCell ref="AN106:AQ106"/>
    <mergeCell ref="AN107:AQ107"/>
    <mergeCell ref="AN108:AQ108"/>
    <mergeCell ref="AN97:AQ97"/>
    <mergeCell ref="AN98:AQ98"/>
    <mergeCell ref="AN99:AQ99"/>
    <mergeCell ref="AN100:AQ100"/>
    <mergeCell ref="AN101:AQ101"/>
    <mergeCell ref="AN102:AQ102"/>
    <mergeCell ref="AN91:AQ91"/>
    <mergeCell ref="AN92:AQ92"/>
    <mergeCell ref="AN93:AQ93"/>
    <mergeCell ref="AN94:AQ94"/>
    <mergeCell ref="AN95:AQ95"/>
    <mergeCell ref="AN96:AQ96"/>
    <mergeCell ref="AN85:AQ85"/>
    <mergeCell ref="AN86:AQ86"/>
    <mergeCell ref="AN87:AQ87"/>
    <mergeCell ref="AN88:AQ88"/>
    <mergeCell ref="AN89:AQ89"/>
    <mergeCell ref="AN90:AQ90"/>
    <mergeCell ref="AN79:AQ79"/>
    <mergeCell ref="AN80:AQ80"/>
    <mergeCell ref="AN81:AQ81"/>
    <mergeCell ref="AN82:AQ82"/>
    <mergeCell ref="AN83:AQ83"/>
    <mergeCell ref="AN84:AQ84"/>
    <mergeCell ref="AN73:AQ73"/>
    <mergeCell ref="AN74:AQ74"/>
    <mergeCell ref="AN75:AQ75"/>
    <mergeCell ref="AN76:AQ76"/>
    <mergeCell ref="AN77:AQ77"/>
    <mergeCell ref="AN78:AQ78"/>
    <mergeCell ref="AN67:AQ67"/>
    <mergeCell ref="AN68:AQ68"/>
    <mergeCell ref="AN69:AQ69"/>
    <mergeCell ref="AN70:AQ70"/>
    <mergeCell ref="AN71:AQ71"/>
    <mergeCell ref="AN72:AQ72"/>
    <mergeCell ref="AN61:AQ61"/>
    <mergeCell ref="AN62:AQ62"/>
    <mergeCell ref="AN63:AQ63"/>
    <mergeCell ref="AN64:AQ64"/>
    <mergeCell ref="AN65:AQ65"/>
    <mergeCell ref="AN66:AQ66"/>
    <mergeCell ref="AN55:AQ55"/>
    <mergeCell ref="AN56:AQ56"/>
    <mergeCell ref="AN57:AQ57"/>
    <mergeCell ref="AN58:AQ58"/>
    <mergeCell ref="AN59:AQ59"/>
    <mergeCell ref="AN60:AQ60"/>
    <mergeCell ref="AN49:AQ49"/>
    <mergeCell ref="AN50:AQ50"/>
    <mergeCell ref="AN51:AQ51"/>
    <mergeCell ref="AN52:AQ52"/>
    <mergeCell ref="AN53:AQ53"/>
    <mergeCell ref="AN54:AQ54"/>
    <mergeCell ref="AN43:AQ43"/>
    <mergeCell ref="AN44:AQ44"/>
    <mergeCell ref="AN45:AQ45"/>
    <mergeCell ref="AN46:AQ46"/>
    <mergeCell ref="AN47:AQ47"/>
    <mergeCell ref="AN48:AQ48"/>
    <mergeCell ref="AN37:AQ37"/>
    <mergeCell ref="AN38:AQ38"/>
    <mergeCell ref="AN39:AQ39"/>
    <mergeCell ref="AN40:AQ40"/>
    <mergeCell ref="AN41:AQ41"/>
    <mergeCell ref="AN42:AQ42"/>
    <mergeCell ref="AN31:AQ31"/>
    <mergeCell ref="AN32:AQ32"/>
    <mergeCell ref="AN33:AQ33"/>
    <mergeCell ref="AN34:AQ34"/>
    <mergeCell ref="AN35:AQ35"/>
    <mergeCell ref="AN36:AQ36"/>
    <mergeCell ref="AN25:AQ25"/>
    <mergeCell ref="AN26:AQ26"/>
    <mergeCell ref="AN27:AQ27"/>
    <mergeCell ref="AN28:AQ28"/>
    <mergeCell ref="AN29:AQ29"/>
    <mergeCell ref="AN30:AQ30"/>
    <mergeCell ref="AN19:AQ19"/>
    <mergeCell ref="AN20:AQ20"/>
    <mergeCell ref="AN21:AQ21"/>
    <mergeCell ref="AN22:AQ22"/>
    <mergeCell ref="AN23:AQ23"/>
    <mergeCell ref="AN24:AQ24"/>
    <mergeCell ref="AN13:AQ13"/>
    <mergeCell ref="AN14:AQ14"/>
    <mergeCell ref="AN15:AQ15"/>
    <mergeCell ref="AN16:AQ16"/>
    <mergeCell ref="AN17:AQ17"/>
    <mergeCell ref="AN18:AQ18"/>
    <mergeCell ref="AJ203:AM203"/>
    <mergeCell ref="AN4:AQ4"/>
    <mergeCell ref="AN5:AQ5"/>
    <mergeCell ref="AN6:AQ6"/>
    <mergeCell ref="AN7:AQ7"/>
    <mergeCell ref="AN8:AQ8"/>
    <mergeCell ref="AN9:AQ9"/>
    <mergeCell ref="AN10:AQ10"/>
    <mergeCell ref="AN11:AQ11"/>
    <mergeCell ref="AN12:AQ12"/>
    <mergeCell ref="AJ197:AM197"/>
    <mergeCell ref="AJ198:AM198"/>
    <mergeCell ref="AJ199:AM199"/>
    <mergeCell ref="AJ200:AM200"/>
    <mergeCell ref="AJ201:AM201"/>
    <mergeCell ref="AJ202:AM202"/>
    <mergeCell ref="AJ191:AM191"/>
    <mergeCell ref="AJ192:AM192"/>
    <mergeCell ref="AJ193:AM193"/>
    <mergeCell ref="AJ194:AM194"/>
    <mergeCell ref="AJ195:AM195"/>
    <mergeCell ref="AJ196:AM196"/>
    <mergeCell ref="AJ185:AM185"/>
    <mergeCell ref="AJ186:AM186"/>
    <mergeCell ref="AJ187:AM187"/>
    <mergeCell ref="AJ188:AM188"/>
    <mergeCell ref="AJ189:AM189"/>
    <mergeCell ref="AJ190:AM190"/>
    <mergeCell ref="AJ179:AM179"/>
    <mergeCell ref="AJ180:AM180"/>
    <mergeCell ref="AJ181:AM181"/>
    <mergeCell ref="AJ182:AM182"/>
    <mergeCell ref="AJ183:AM183"/>
    <mergeCell ref="AJ184:AM184"/>
    <mergeCell ref="AJ173:AM173"/>
    <mergeCell ref="AJ174:AM174"/>
    <mergeCell ref="AJ175:AM175"/>
    <mergeCell ref="AJ176:AM176"/>
    <mergeCell ref="AJ177:AM177"/>
    <mergeCell ref="AJ178:AM178"/>
    <mergeCell ref="AJ167:AM167"/>
    <mergeCell ref="AJ168:AM168"/>
    <mergeCell ref="AJ169:AM169"/>
    <mergeCell ref="AJ170:AM170"/>
    <mergeCell ref="AJ171:AM171"/>
    <mergeCell ref="AJ172:AM172"/>
    <mergeCell ref="AJ161:AM161"/>
    <mergeCell ref="AJ162:AM162"/>
    <mergeCell ref="AJ163:AM163"/>
    <mergeCell ref="AJ164:AM164"/>
    <mergeCell ref="AJ165:AM165"/>
    <mergeCell ref="AJ166:AM166"/>
    <mergeCell ref="AJ155:AM155"/>
    <mergeCell ref="AJ156:AM156"/>
    <mergeCell ref="AJ157:AM157"/>
    <mergeCell ref="AJ158:AM158"/>
    <mergeCell ref="AJ159:AM159"/>
    <mergeCell ref="AJ160:AM160"/>
    <mergeCell ref="AJ149:AM149"/>
    <mergeCell ref="AJ150:AM150"/>
    <mergeCell ref="AJ151:AM151"/>
    <mergeCell ref="AJ152:AM152"/>
    <mergeCell ref="AJ153:AM153"/>
    <mergeCell ref="AJ154:AM154"/>
    <mergeCell ref="AJ143:AM143"/>
    <mergeCell ref="AJ144:AM144"/>
    <mergeCell ref="AJ145:AM145"/>
    <mergeCell ref="AJ146:AM146"/>
    <mergeCell ref="AJ147:AM147"/>
    <mergeCell ref="AJ148:AM148"/>
    <mergeCell ref="AJ137:AM137"/>
    <mergeCell ref="AJ138:AM138"/>
    <mergeCell ref="AJ139:AM139"/>
    <mergeCell ref="AJ140:AM140"/>
    <mergeCell ref="AJ141:AM141"/>
    <mergeCell ref="AJ142:AM142"/>
    <mergeCell ref="AJ131:AM131"/>
    <mergeCell ref="AJ132:AM132"/>
    <mergeCell ref="AJ133:AM133"/>
    <mergeCell ref="AJ134:AM134"/>
    <mergeCell ref="AJ135:AM135"/>
    <mergeCell ref="AJ136:AM136"/>
    <mergeCell ref="AJ125:AM125"/>
    <mergeCell ref="AJ126:AM126"/>
    <mergeCell ref="AJ127:AM127"/>
    <mergeCell ref="AJ128:AM128"/>
    <mergeCell ref="AJ129:AM129"/>
    <mergeCell ref="AJ130:AM130"/>
    <mergeCell ref="AJ119:AM119"/>
    <mergeCell ref="AJ120:AM120"/>
    <mergeCell ref="AJ121:AM121"/>
    <mergeCell ref="AJ122:AM122"/>
    <mergeCell ref="AJ123:AM123"/>
    <mergeCell ref="AJ124:AM124"/>
    <mergeCell ref="AJ113:AM113"/>
    <mergeCell ref="AJ114:AM114"/>
    <mergeCell ref="AJ115:AM115"/>
    <mergeCell ref="AJ116:AM116"/>
    <mergeCell ref="AJ117:AM117"/>
    <mergeCell ref="AJ118:AM118"/>
    <mergeCell ref="AJ107:AM107"/>
    <mergeCell ref="AJ108:AM108"/>
    <mergeCell ref="AJ109:AM109"/>
    <mergeCell ref="AJ110:AM110"/>
    <mergeCell ref="AJ111:AM111"/>
    <mergeCell ref="AJ112:AM112"/>
    <mergeCell ref="AJ101:AM101"/>
    <mergeCell ref="AJ102:AM102"/>
    <mergeCell ref="AJ103:AM103"/>
    <mergeCell ref="AJ104:AM104"/>
    <mergeCell ref="AJ105:AM105"/>
    <mergeCell ref="AJ106:AM106"/>
    <mergeCell ref="AJ95:AM95"/>
    <mergeCell ref="AJ96:AM96"/>
    <mergeCell ref="AJ97:AM97"/>
    <mergeCell ref="AJ98:AM98"/>
    <mergeCell ref="AJ99:AM99"/>
    <mergeCell ref="AJ100:AM100"/>
    <mergeCell ref="AJ89:AM89"/>
    <mergeCell ref="AJ90:AM90"/>
    <mergeCell ref="AJ91:AM91"/>
    <mergeCell ref="AJ92:AM92"/>
    <mergeCell ref="AJ93:AM93"/>
    <mergeCell ref="AJ94:AM94"/>
    <mergeCell ref="AJ83:AM83"/>
    <mergeCell ref="AJ84:AM84"/>
    <mergeCell ref="AJ85:AM85"/>
    <mergeCell ref="AJ86:AM86"/>
    <mergeCell ref="AJ87:AM87"/>
    <mergeCell ref="AJ88:AM88"/>
    <mergeCell ref="AJ77:AM77"/>
    <mergeCell ref="AJ78:AM78"/>
    <mergeCell ref="AJ79:AM79"/>
    <mergeCell ref="AJ80:AM80"/>
    <mergeCell ref="AJ81:AM81"/>
    <mergeCell ref="AJ82:AM82"/>
    <mergeCell ref="AJ71:AM71"/>
    <mergeCell ref="AJ72:AM72"/>
    <mergeCell ref="AJ73:AM73"/>
    <mergeCell ref="AJ74:AM74"/>
    <mergeCell ref="AJ75:AM75"/>
    <mergeCell ref="AJ76:AM76"/>
    <mergeCell ref="AJ65:AM65"/>
    <mergeCell ref="AJ66:AM66"/>
    <mergeCell ref="AJ67:AM67"/>
    <mergeCell ref="AJ68:AM68"/>
    <mergeCell ref="AJ69:AM69"/>
    <mergeCell ref="AJ70:AM70"/>
    <mergeCell ref="AJ59:AM59"/>
    <mergeCell ref="AJ60:AM60"/>
    <mergeCell ref="AJ61:AM61"/>
    <mergeCell ref="AJ62:AM62"/>
    <mergeCell ref="AJ63:AM63"/>
    <mergeCell ref="AJ64:AM64"/>
    <mergeCell ref="AJ53:AM53"/>
    <mergeCell ref="AJ54:AM54"/>
    <mergeCell ref="AJ55:AM55"/>
    <mergeCell ref="AJ56:AM56"/>
    <mergeCell ref="AJ57:AM57"/>
    <mergeCell ref="AJ58:AM58"/>
    <mergeCell ref="AJ47:AM47"/>
    <mergeCell ref="AJ48:AM48"/>
    <mergeCell ref="AJ49:AM49"/>
    <mergeCell ref="AJ50:AM50"/>
    <mergeCell ref="AJ51:AM51"/>
    <mergeCell ref="AJ52:AM52"/>
    <mergeCell ref="AJ41:AM41"/>
    <mergeCell ref="AJ42:AM42"/>
    <mergeCell ref="AJ43:AM43"/>
    <mergeCell ref="AJ44:AM44"/>
    <mergeCell ref="AJ45:AM45"/>
    <mergeCell ref="AJ46:AM46"/>
    <mergeCell ref="AJ35:AM35"/>
    <mergeCell ref="AJ36:AM36"/>
    <mergeCell ref="AJ37:AM37"/>
    <mergeCell ref="AJ38:AM38"/>
    <mergeCell ref="AJ39:AM39"/>
    <mergeCell ref="AJ40:AM40"/>
    <mergeCell ref="AJ29:AM29"/>
    <mergeCell ref="AJ30:AM30"/>
    <mergeCell ref="AJ31:AM31"/>
    <mergeCell ref="AJ32:AM32"/>
    <mergeCell ref="AJ33:AM33"/>
    <mergeCell ref="AJ34:AM34"/>
    <mergeCell ref="AJ23:AM23"/>
    <mergeCell ref="AJ24:AM24"/>
    <mergeCell ref="AJ25:AM25"/>
    <mergeCell ref="AJ26:AM26"/>
    <mergeCell ref="AJ27:AM27"/>
    <mergeCell ref="AJ28:AM28"/>
    <mergeCell ref="AJ17:AM17"/>
    <mergeCell ref="AJ18:AM18"/>
    <mergeCell ref="AJ19:AM19"/>
    <mergeCell ref="AJ20:AM20"/>
    <mergeCell ref="AJ21:AM21"/>
    <mergeCell ref="AJ22:AM22"/>
    <mergeCell ref="AJ11:AM11"/>
    <mergeCell ref="AJ12:AM12"/>
    <mergeCell ref="AJ13:AM13"/>
    <mergeCell ref="AJ14:AM14"/>
    <mergeCell ref="AJ15:AM15"/>
    <mergeCell ref="AJ16:AM16"/>
    <mergeCell ref="AF5:AI5"/>
    <mergeCell ref="AF6:AI6"/>
    <mergeCell ref="AJ7:AM7"/>
    <mergeCell ref="AJ8:AM8"/>
    <mergeCell ref="AJ9:AM9"/>
    <mergeCell ref="AJ10:AM10"/>
    <mergeCell ref="X12:AE12"/>
    <mergeCell ref="X13:AE13"/>
    <mergeCell ref="AJ4:AM4"/>
    <mergeCell ref="AJ5:AM5"/>
    <mergeCell ref="AJ6:AM6"/>
    <mergeCell ref="E2:O2"/>
    <mergeCell ref="P2:Q2"/>
    <mergeCell ref="Y2:AE2"/>
    <mergeCell ref="AF3:AI3"/>
    <mergeCell ref="AF4:AI4"/>
    <mergeCell ref="X201:AE201"/>
    <mergeCell ref="X202:AE202"/>
    <mergeCell ref="X203:AE203"/>
    <mergeCell ref="X5:AE5"/>
    <mergeCell ref="X6:AE6"/>
    <mergeCell ref="X7:AE7"/>
    <mergeCell ref="X8:AE8"/>
    <mergeCell ref="X9:AE9"/>
    <mergeCell ref="X10:AE10"/>
    <mergeCell ref="X11:AE11"/>
    <mergeCell ref="X195:AE195"/>
    <mergeCell ref="X196:AE196"/>
    <mergeCell ref="X197:AE197"/>
    <mergeCell ref="X198:AE198"/>
    <mergeCell ref="X199:AE199"/>
    <mergeCell ref="X200:AE200"/>
    <mergeCell ref="X189:AE189"/>
    <mergeCell ref="X190:AE190"/>
    <mergeCell ref="X191:AE191"/>
    <mergeCell ref="X192:AE192"/>
    <mergeCell ref="X193:AE193"/>
    <mergeCell ref="X194:AE194"/>
    <mergeCell ref="X183:AE183"/>
    <mergeCell ref="X184:AE184"/>
    <mergeCell ref="X185:AE185"/>
    <mergeCell ref="X186:AE186"/>
    <mergeCell ref="X187:AE187"/>
    <mergeCell ref="X188:AE188"/>
    <mergeCell ref="X177:AE177"/>
    <mergeCell ref="X178:AE178"/>
    <mergeCell ref="X179:AE179"/>
    <mergeCell ref="X180:AE180"/>
    <mergeCell ref="X181:AE181"/>
    <mergeCell ref="X182:AE182"/>
    <mergeCell ref="X171:AE171"/>
    <mergeCell ref="X172:AE172"/>
    <mergeCell ref="X173:AE173"/>
    <mergeCell ref="X174:AE174"/>
    <mergeCell ref="X175:AE175"/>
    <mergeCell ref="X176:AE176"/>
    <mergeCell ref="X165:AE165"/>
    <mergeCell ref="X166:AE166"/>
    <mergeCell ref="X167:AE167"/>
    <mergeCell ref="X168:AE168"/>
    <mergeCell ref="X169:AE169"/>
    <mergeCell ref="X170:AE170"/>
    <mergeCell ref="X159:AE159"/>
    <mergeCell ref="X160:AE160"/>
    <mergeCell ref="X161:AE161"/>
    <mergeCell ref="X162:AE162"/>
    <mergeCell ref="X163:AE163"/>
    <mergeCell ref="X164:AE164"/>
    <mergeCell ref="X153:AE153"/>
    <mergeCell ref="X154:AE154"/>
    <mergeCell ref="X155:AE155"/>
    <mergeCell ref="X156:AE156"/>
    <mergeCell ref="X157:AE157"/>
    <mergeCell ref="X158:AE158"/>
    <mergeCell ref="X147:AE147"/>
    <mergeCell ref="X148:AE148"/>
    <mergeCell ref="X149:AE149"/>
    <mergeCell ref="X150:AE150"/>
    <mergeCell ref="X151:AE151"/>
    <mergeCell ref="X152:AE152"/>
    <mergeCell ref="X141:AE141"/>
    <mergeCell ref="X142:AE142"/>
    <mergeCell ref="X143:AE143"/>
    <mergeCell ref="X144:AE144"/>
    <mergeCell ref="X145:AE145"/>
    <mergeCell ref="X146:AE146"/>
    <mergeCell ref="X135:AE135"/>
    <mergeCell ref="X136:AE136"/>
    <mergeCell ref="X137:AE137"/>
    <mergeCell ref="X138:AE138"/>
    <mergeCell ref="X139:AE139"/>
    <mergeCell ref="X140:AE140"/>
    <mergeCell ref="X129:AE129"/>
    <mergeCell ref="X130:AE130"/>
    <mergeCell ref="X131:AE131"/>
    <mergeCell ref="X132:AE132"/>
    <mergeCell ref="X133:AE133"/>
    <mergeCell ref="X134:AE134"/>
    <mergeCell ref="X123:AE123"/>
    <mergeCell ref="X124:AE124"/>
    <mergeCell ref="X125:AE125"/>
    <mergeCell ref="X126:AE126"/>
    <mergeCell ref="X127:AE127"/>
    <mergeCell ref="X128:AE128"/>
    <mergeCell ref="X117:AE117"/>
    <mergeCell ref="X118:AE118"/>
    <mergeCell ref="X119:AE119"/>
    <mergeCell ref="X120:AE120"/>
    <mergeCell ref="X121:AE121"/>
    <mergeCell ref="X122:AE122"/>
    <mergeCell ref="X111:AE111"/>
    <mergeCell ref="X112:AE112"/>
    <mergeCell ref="X113:AE113"/>
    <mergeCell ref="X114:AE114"/>
    <mergeCell ref="X115:AE115"/>
    <mergeCell ref="X116:AE116"/>
    <mergeCell ref="X105:AE105"/>
    <mergeCell ref="X106:AE106"/>
    <mergeCell ref="X107:AE107"/>
    <mergeCell ref="X108:AE108"/>
    <mergeCell ref="X109:AE109"/>
    <mergeCell ref="X110:AE110"/>
    <mergeCell ref="X99:AE99"/>
    <mergeCell ref="X100:AE100"/>
    <mergeCell ref="X101:AE101"/>
    <mergeCell ref="X102:AE102"/>
    <mergeCell ref="X103:AE103"/>
    <mergeCell ref="X104:AE104"/>
    <mergeCell ref="X93:AE93"/>
    <mergeCell ref="X94:AE94"/>
    <mergeCell ref="X95:AE95"/>
    <mergeCell ref="X96:AE96"/>
    <mergeCell ref="X97:AE97"/>
    <mergeCell ref="X98:AE98"/>
    <mergeCell ref="X87:AE87"/>
    <mergeCell ref="X88:AE88"/>
    <mergeCell ref="X89:AE89"/>
    <mergeCell ref="X90:AE90"/>
    <mergeCell ref="X91:AE91"/>
    <mergeCell ref="X92:AE92"/>
    <mergeCell ref="X81:AE81"/>
    <mergeCell ref="X82:AE82"/>
    <mergeCell ref="X83:AE83"/>
    <mergeCell ref="X84:AE84"/>
    <mergeCell ref="X85:AE85"/>
    <mergeCell ref="X86:AE86"/>
    <mergeCell ref="X75:AE75"/>
    <mergeCell ref="X76:AE76"/>
    <mergeCell ref="X77:AE77"/>
    <mergeCell ref="X78:AE78"/>
    <mergeCell ref="X79:AE79"/>
    <mergeCell ref="X80:AE80"/>
    <mergeCell ref="X69:AE69"/>
    <mergeCell ref="X70:AE70"/>
    <mergeCell ref="X71:AE71"/>
    <mergeCell ref="X72:AE72"/>
    <mergeCell ref="X73:AE73"/>
    <mergeCell ref="X74:AE74"/>
    <mergeCell ref="X63:AE63"/>
    <mergeCell ref="X64:AE64"/>
    <mergeCell ref="X65:AE65"/>
    <mergeCell ref="X66:AE66"/>
    <mergeCell ref="X67:AE67"/>
    <mergeCell ref="X68:AE68"/>
    <mergeCell ref="X57:AE57"/>
    <mergeCell ref="X58:AE58"/>
    <mergeCell ref="X59:AE59"/>
    <mergeCell ref="X60:AE60"/>
    <mergeCell ref="X61:AE61"/>
    <mergeCell ref="X62:AE62"/>
    <mergeCell ref="X51:AE51"/>
    <mergeCell ref="X52:AE52"/>
    <mergeCell ref="X53:AE53"/>
    <mergeCell ref="X54:AE54"/>
    <mergeCell ref="X55:AE55"/>
    <mergeCell ref="X56:AE56"/>
    <mergeCell ref="X45:AE45"/>
    <mergeCell ref="X46:AE46"/>
    <mergeCell ref="X47:AE47"/>
    <mergeCell ref="X48:AE48"/>
    <mergeCell ref="X49:AE49"/>
    <mergeCell ref="X50:AE50"/>
    <mergeCell ref="X39:AE39"/>
    <mergeCell ref="X40:AE40"/>
    <mergeCell ref="X41:AE41"/>
    <mergeCell ref="X42:AE42"/>
    <mergeCell ref="X43:AE43"/>
    <mergeCell ref="X44:AE44"/>
    <mergeCell ref="X33:AE33"/>
    <mergeCell ref="X34:AE34"/>
    <mergeCell ref="X35:AE35"/>
    <mergeCell ref="X36:AE36"/>
    <mergeCell ref="X37:AE37"/>
    <mergeCell ref="X38:AE38"/>
    <mergeCell ref="X27:AE27"/>
    <mergeCell ref="X28:AE28"/>
    <mergeCell ref="X29:AE29"/>
    <mergeCell ref="X30:AE30"/>
    <mergeCell ref="X31:AE31"/>
    <mergeCell ref="X32:AE32"/>
    <mergeCell ref="X21:AE21"/>
    <mergeCell ref="X22:AE22"/>
    <mergeCell ref="X23:AE23"/>
    <mergeCell ref="X24:AE24"/>
    <mergeCell ref="X25:AE25"/>
    <mergeCell ref="X26:AE26"/>
    <mergeCell ref="X15:AE15"/>
    <mergeCell ref="X16:AE16"/>
    <mergeCell ref="X17:AE17"/>
    <mergeCell ref="X18:AE18"/>
    <mergeCell ref="X19:AE19"/>
    <mergeCell ref="X20:AE20"/>
    <mergeCell ref="X14:AE14"/>
    <mergeCell ref="O202:W202"/>
    <mergeCell ref="O203:W203"/>
    <mergeCell ref="X3:AE3"/>
    <mergeCell ref="X4:AE4"/>
    <mergeCell ref="O198:W198"/>
    <mergeCell ref="O199:W199"/>
    <mergeCell ref="O200:W200"/>
    <mergeCell ref="O201:W201"/>
    <mergeCell ref="O194:W194"/>
    <mergeCell ref="O187:W187"/>
    <mergeCell ref="O188:W188"/>
    <mergeCell ref="O189:W189"/>
    <mergeCell ref="O195:W195"/>
    <mergeCell ref="O196:W196"/>
    <mergeCell ref="O197:W197"/>
    <mergeCell ref="O190:W190"/>
    <mergeCell ref="O191:W191"/>
    <mergeCell ref="O192:W192"/>
    <mergeCell ref="O193:W193"/>
    <mergeCell ref="O181:W181"/>
    <mergeCell ref="O182:W182"/>
    <mergeCell ref="O183:W183"/>
    <mergeCell ref="O184:W184"/>
    <mergeCell ref="O185:W185"/>
    <mergeCell ref="O186:W186"/>
    <mergeCell ref="O175:W175"/>
    <mergeCell ref="O176:W176"/>
    <mergeCell ref="O177:W177"/>
    <mergeCell ref="O178:W178"/>
    <mergeCell ref="O179:W179"/>
    <mergeCell ref="O180:W180"/>
    <mergeCell ref="O169:W169"/>
    <mergeCell ref="O170:W170"/>
    <mergeCell ref="O171:W171"/>
    <mergeCell ref="O172:W172"/>
    <mergeCell ref="O173:W173"/>
    <mergeCell ref="O174:W174"/>
    <mergeCell ref="O163:W163"/>
    <mergeCell ref="O164:W164"/>
    <mergeCell ref="O165:W165"/>
    <mergeCell ref="O166:W166"/>
    <mergeCell ref="O167:W167"/>
    <mergeCell ref="O168:W168"/>
    <mergeCell ref="O157:W157"/>
    <mergeCell ref="O158:W158"/>
    <mergeCell ref="O159:W159"/>
    <mergeCell ref="O160:W160"/>
    <mergeCell ref="O161:W161"/>
    <mergeCell ref="O162:W162"/>
    <mergeCell ref="O151:W151"/>
    <mergeCell ref="O152:W152"/>
    <mergeCell ref="O153:W153"/>
    <mergeCell ref="O154:W154"/>
    <mergeCell ref="O155:W155"/>
    <mergeCell ref="O156:W156"/>
    <mergeCell ref="O145:W145"/>
    <mergeCell ref="O146:W146"/>
    <mergeCell ref="O147:W147"/>
    <mergeCell ref="O148:W148"/>
    <mergeCell ref="O149:W149"/>
    <mergeCell ref="O150:W150"/>
    <mergeCell ref="O139:W139"/>
    <mergeCell ref="O140:W140"/>
    <mergeCell ref="O141:W141"/>
    <mergeCell ref="O142:W142"/>
    <mergeCell ref="O143:W143"/>
    <mergeCell ref="O144:W144"/>
    <mergeCell ref="O133:W133"/>
    <mergeCell ref="O134:W134"/>
    <mergeCell ref="O135:W135"/>
    <mergeCell ref="O136:W136"/>
    <mergeCell ref="O137:W137"/>
    <mergeCell ref="O138:W138"/>
    <mergeCell ref="O127:W127"/>
    <mergeCell ref="O128:W128"/>
    <mergeCell ref="O129:W129"/>
    <mergeCell ref="O130:W130"/>
    <mergeCell ref="O131:W131"/>
    <mergeCell ref="O132:W132"/>
    <mergeCell ref="O121:W121"/>
    <mergeCell ref="O122:W122"/>
    <mergeCell ref="O123:W123"/>
    <mergeCell ref="O124:W124"/>
    <mergeCell ref="O125:W125"/>
    <mergeCell ref="O126:W126"/>
    <mergeCell ref="O115:W115"/>
    <mergeCell ref="O116:W116"/>
    <mergeCell ref="O117:W117"/>
    <mergeCell ref="O118:W118"/>
    <mergeCell ref="O119:W119"/>
    <mergeCell ref="O120:W120"/>
    <mergeCell ref="O109:W109"/>
    <mergeCell ref="O110:W110"/>
    <mergeCell ref="O111:W111"/>
    <mergeCell ref="O112:W112"/>
    <mergeCell ref="O113:W113"/>
    <mergeCell ref="O114:W114"/>
    <mergeCell ref="O103:W103"/>
    <mergeCell ref="O104:W104"/>
    <mergeCell ref="O105:W105"/>
    <mergeCell ref="O106:W106"/>
    <mergeCell ref="O107:W107"/>
    <mergeCell ref="O108:W108"/>
    <mergeCell ref="O97:W97"/>
    <mergeCell ref="O98:W98"/>
    <mergeCell ref="O99:W99"/>
    <mergeCell ref="O100:W100"/>
    <mergeCell ref="O101:W101"/>
    <mergeCell ref="O102:W102"/>
    <mergeCell ref="O91:W91"/>
    <mergeCell ref="O92:W92"/>
    <mergeCell ref="O93:W93"/>
    <mergeCell ref="O94:W94"/>
    <mergeCell ref="O95:W95"/>
    <mergeCell ref="O96:W96"/>
    <mergeCell ref="O85:W85"/>
    <mergeCell ref="O86:W86"/>
    <mergeCell ref="O87:W87"/>
    <mergeCell ref="O88:W88"/>
    <mergeCell ref="O89:W89"/>
    <mergeCell ref="O90:W90"/>
    <mergeCell ref="O79:W79"/>
    <mergeCell ref="O80:W80"/>
    <mergeCell ref="O81:W81"/>
    <mergeCell ref="O82:W82"/>
    <mergeCell ref="O83:W83"/>
    <mergeCell ref="O84:W84"/>
    <mergeCell ref="O73:W73"/>
    <mergeCell ref="O74:W74"/>
    <mergeCell ref="O75:W75"/>
    <mergeCell ref="O76:W76"/>
    <mergeCell ref="O77:W77"/>
    <mergeCell ref="O78:W78"/>
    <mergeCell ref="O67:W67"/>
    <mergeCell ref="O68:W68"/>
    <mergeCell ref="O69:W69"/>
    <mergeCell ref="O70:W70"/>
    <mergeCell ref="O71:W71"/>
    <mergeCell ref="O72:W72"/>
    <mergeCell ref="O61:W61"/>
    <mergeCell ref="O62:W62"/>
    <mergeCell ref="O63:W63"/>
    <mergeCell ref="O64:W64"/>
    <mergeCell ref="O65:W65"/>
    <mergeCell ref="O66:W66"/>
    <mergeCell ref="O55:W55"/>
    <mergeCell ref="O56:W56"/>
    <mergeCell ref="O57:W57"/>
    <mergeCell ref="O58:W58"/>
    <mergeCell ref="O59:W59"/>
    <mergeCell ref="O60:W60"/>
    <mergeCell ref="O49:W49"/>
    <mergeCell ref="O50:W50"/>
    <mergeCell ref="O51:W51"/>
    <mergeCell ref="O52:W52"/>
    <mergeCell ref="O53:W53"/>
    <mergeCell ref="O54:W54"/>
    <mergeCell ref="O43:W43"/>
    <mergeCell ref="O44:W44"/>
    <mergeCell ref="O45:W45"/>
    <mergeCell ref="O46:W46"/>
    <mergeCell ref="O47:W47"/>
    <mergeCell ref="O48:W48"/>
    <mergeCell ref="O37:W37"/>
    <mergeCell ref="O38:W38"/>
    <mergeCell ref="O39:W39"/>
    <mergeCell ref="O40:W40"/>
    <mergeCell ref="O41:W41"/>
    <mergeCell ref="O42:W42"/>
    <mergeCell ref="O31:W31"/>
    <mergeCell ref="O32:W32"/>
    <mergeCell ref="O33:W33"/>
    <mergeCell ref="O34:W34"/>
    <mergeCell ref="O35:W35"/>
    <mergeCell ref="O36:W36"/>
    <mergeCell ref="O25:W25"/>
    <mergeCell ref="O26:W26"/>
    <mergeCell ref="O27:W27"/>
    <mergeCell ref="O28:W28"/>
    <mergeCell ref="O29:W29"/>
    <mergeCell ref="O30:W30"/>
    <mergeCell ref="O19:W19"/>
    <mergeCell ref="O20:W20"/>
    <mergeCell ref="O21:W21"/>
    <mergeCell ref="O22:W22"/>
    <mergeCell ref="O23:W23"/>
    <mergeCell ref="O24:W24"/>
    <mergeCell ref="O13:W13"/>
    <mergeCell ref="O14:W14"/>
    <mergeCell ref="O15:W15"/>
    <mergeCell ref="O16:W16"/>
    <mergeCell ref="O17:W17"/>
    <mergeCell ref="O18:W18"/>
    <mergeCell ref="O7:W7"/>
    <mergeCell ref="O8:W8"/>
    <mergeCell ref="O9:W9"/>
    <mergeCell ref="O10:W10"/>
    <mergeCell ref="O11:W11"/>
    <mergeCell ref="O12:W12"/>
    <mergeCell ref="AF201:AI201"/>
    <mergeCell ref="AF202:AI202"/>
    <mergeCell ref="AF192:AI192"/>
    <mergeCell ref="AF193:AI193"/>
    <mergeCell ref="AF194:AI194"/>
    <mergeCell ref="AF195:AI195"/>
    <mergeCell ref="AF188:AI188"/>
    <mergeCell ref="AF189:AI189"/>
    <mergeCell ref="AF203:AI203"/>
    <mergeCell ref="AF196:AI196"/>
    <mergeCell ref="AF197:AI197"/>
    <mergeCell ref="AF198:AI198"/>
    <mergeCell ref="AF199:AI199"/>
    <mergeCell ref="AF190:AI190"/>
    <mergeCell ref="AF191:AI191"/>
    <mergeCell ref="AF200:AI200"/>
    <mergeCell ref="AF182:AI182"/>
    <mergeCell ref="AF183:AI183"/>
    <mergeCell ref="AF184:AI184"/>
    <mergeCell ref="AF185:AI185"/>
    <mergeCell ref="AF186:AI186"/>
    <mergeCell ref="AF187:AI187"/>
    <mergeCell ref="AF176:AI176"/>
    <mergeCell ref="AF177:AI177"/>
    <mergeCell ref="AF178:AI178"/>
    <mergeCell ref="AF179:AI179"/>
    <mergeCell ref="AF180:AI180"/>
    <mergeCell ref="AF181:AI181"/>
    <mergeCell ref="AF170:AI170"/>
    <mergeCell ref="AF171:AI171"/>
    <mergeCell ref="AF172:AI172"/>
    <mergeCell ref="AF173:AI173"/>
    <mergeCell ref="AF174:AI174"/>
    <mergeCell ref="AF175:AI175"/>
    <mergeCell ref="AF164:AI164"/>
    <mergeCell ref="AF165:AI165"/>
    <mergeCell ref="AF166:AI166"/>
    <mergeCell ref="AF167:AI167"/>
    <mergeCell ref="AF168:AI168"/>
    <mergeCell ref="AF169:AI169"/>
    <mergeCell ref="AF158:AI158"/>
    <mergeCell ref="AF159:AI159"/>
    <mergeCell ref="AF160:AI160"/>
    <mergeCell ref="AF161:AI161"/>
    <mergeCell ref="AF162:AI162"/>
    <mergeCell ref="AF163:AI163"/>
    <mergeCell ref="AF152:AI152"/>
    <mergeCell ref="AF153:AI153"/>
    <mergeCell ref="AF154:AI154"/>
    <mergeCell ref="AF155:AI155"/>
    <mergeCell ref="AF156:AI156"/>
    <mergeCell ref="AF157:AI157"/>
    <mergeCell ref="AF146:AI146"/>
    <mergeCell ref="AF147:AI147"/>
    <mergeCell ref="AF148:AI148"/>
    <mergeCell ref="AF149:AI149"/>
    <mergeCell ref="AF150:AI150"/>
    <mergeCell ref="AF151:AI151"/>
    <mergeCell ref="AF140:AI140"/>
    <mergeCell ref="AF141:AI141"/>
    <mergeCell ref="AF142:AI142"/>
    <mergeCell ref="AF143:AI143"/>
    <mergeCell ref="AF144:AI144"/>
    <mergeCell ref="AF145:AI145"/>
    <mergeCell ref="AF134:AI134"/>
    <mergeCell ref="AF135:AI135"/>
    <mergeCell ref="AF136:AI136"/>
    <mergeCell ref="AF137:AI137"/>
    <mergeCell ref="AF138:AI138"/>
    <mergeCell ref="AF139:AI139"/>
    <mergeCell ref="AF128:AI128"/>
    <mergeCell ref="AF129:AI129"/>
    <mergeCell ref="AF130:AI130"/>
    <mergeCell ref="AF131:AI131"/>
    <mergeCell ref="AF132:AI132"/>
    <mergeCell ref="AF133:AI133"/>
    <mergeCell ref="AF122:AI122"/>
    <mergeCell ref="AF123:AI123"/>
    <mergeCell ref="AF124:AI124"/>
    <mergeCell ref="AF125:AI125"/>
    <mergeCell ref="AF126:AI126"/>
    <mergeCell ref="AF127:AI127"/>
    <mergeCell ref="AF116:AI116"/>
    <mergeCell ref="AF117:AI117"/>
    <mergeCell ref="AF118:AI118"/>
    <mergeCell ref="AF119:AI119"/>
    <mergeCell ref="AF120:AI120"/>
    <mergeCell ref="AF121:AI121"/>
    <mergeCell ref="AF110:AI110"/>
    <mergeCell ref="AF111:AI111"/>
    <mergeCell ref="AF112:AI112"/>
    <mergeCell ref="AF113:AI113"/>
    <mergeCell ref="AF114:AI114"/>
    <mergeCell ref="AF115:AI115"/>
    <mergeCell ref="AF104:AI104"/>
    <mergeCell ref="AF105:AI105"/>
    <mergeCell ref="AF106:AI106"/>
    <mergeCell ref="AF107:AI107"/>
    <mergeCell ref="AF108:AI108"/>
    <mergeCell ref="AF109:AI109"/>
    <mergeCell ref="AF98:AI98"/>
    <mergeCell ref="AF99:AI99"/>
    <mergeCell ref="AF100:AI100"/>
    <mergeCell ref="AF101:AI101"/>
    <mergeCell ref="AF102:AI102"/>
    <mergeCell ref="AF103:AI103"/>
    <mergeCell ref="AF92:AI92"/>
    <mergeCell ref="AF93:AI93"/>
    <mergeCell ref="AF94:AI94"/>
    <mergeCell ref="AF95:AI95"/>
    <mergeCell ref="AF96:AI96"/>
    <mergeCell ref="AF97:AI97"/>
    <mergeCell ref="AF86:AI86"/>
    <mergeCell ref="AF87:AI87"/>
    <mergeCell ref="AF88:AI88"/>
    <mergeCell ref="AF89:AI89"/>
    <mergeCell ref="AF90:AI90"/>
    <mergeCell ref="AF91:AI91"/>
    <mergeCell ref="AF80:AI80"/>
    <mergeCell ref="AF81:AI81"/>
    <mergeCell ref="AF82:AI82"/>
    <mergeCell ref="AF83:AI83"/>
    <mergeCell ref="AF84:AI84"/>
    <mergeCell ref="AF85:AI85"/>
    <mergeCell ref="AF74:AI74"/>
    <mergeCell ref="AF75:AI75"/>
    <mergeCell ref="AF76:AI76"/>
    <mergeCell ref="AF77:AI77"/>
    <mergeCell ref="AF78:AI78"/>
    <mergeCell ref="AF79:AI79"/>
    <mergeCell ref="AF68:AI68"/>
    <mergeCell ref="AF69:AI69"/>
    <mergeCell ref="AF70:AI70"/>
    <mergeCell ref="AF71:AI71"/>
    <mergeCell ref="AF72:AI72"/>
    <mergeCell ref="AF73:AI73"/>
    <mergeCell ref="AF62:AI62"/>
    <mergeCell ref="AF63:AI63"/>
    <mergeCell ref="AF64:AI64"/>
    <mergeCell ref="AF65:AI65"/>
    <mergeCell ref="AF66:AI66"/>
    <mergeCell ref="AF67:AI67"/>
    <mergeCell ref="AF56:AI56"/>
    <mergeCell ref="AF57:AI57"/>
    <mergeCell ref="AF58:AI58"/>
    <mergeCell ref="AF59:AI59"/>
    <mergeCell ref="AF60:AI60"/>
    <mergeCell ref="AF61:AI61"/>
    <mergeCell ref="AF50:AI50"/>
    <mergeCell ref="AF51:AI51"/>
    <mergeCell ref="AF52:AI52"/>
    <mergeCell ref="AF53:AI53"/>
    <mergeCell ref="AF54:AI54"/>
    <mergeCell ref="AF55:AI55"/>
    <mergeCell ref="AF44:AI44"/>
    <mergeCell ref="AF45:AI45"/>
    <mergeCell ref="AF46:AI46"/>
    <mergeCell ref="AF47:AI47"/>
    <mergeCell ref="AF48:AI48"/>
    <mergeCell ref="AF49:AI49"/>
    <mergeCell ref="AF38:AI38"/>
    <mergeCell ref="AF39:AI39"/>
    <mergeCell ref="AF40:AI40"/>
    <mergeCell ref="AF41:AI41"/>
    <mergeCell ref="AF42:AI42"/>
    <mergeCell ref="AF43:AI43"/>
    <mergeCell ref="AF32:AI32"/>
    <mergeCell ref="AF33:AI33"/>
    <mergeCell ref="AF34:AI34"/>
    <mergeCell ref="AF35:AI35"/>
    <mergeCell ref="AF36:AI36"/>
    <mergeCell ref="AF37:AI37"/>
    <mergeCell ref="AF26:AI26"/>
    <mergeCell ref="AF27:AI27"/>
    <mergeCell ref="AF28:AI28"/>
    <mergeCell ref="AF29:AI29"/>
    <mergeCell ref="AF30:AI30"/>
    <mergeCell ref="AF31:AI31"/>
    <mergeCell ref="AF20:AI20"/>
    <mergeCell ref="AF21:AI21"/>
    <mergeCell ref="AF22:AI22"/>
    <mergeCell ref="AF23:AI23"/>
    <mergeCell ref="AF24:AI24"/>
    <mergeCell ref="AF25:AI25"/>
    <mergeCell ref="AF14:AI14"/>
    <mergeCell ref="AF15:AI15"/>
    <mergeCell ref="AF16:AI16"/>
    <mergeCell ref="AF17:AI17"/>
    <mergeCell ref="AF18:AI18"/>
    <mergeCell ref="AF19:AI19"/>
    <mergeCell ref="AF8:AI8"/>
    <mergeCell ref="AF9:AI9"/>
    <mergeCell ref="AF10:AI10"/>
    <mergeCell ref="AF11:AI11"/>
    <mergeCell ref="AF12:AI12"/>
    <mergeCell ref="AF13:AI13"/>
    <mergeCell ref="AF7:AI7"/>
    <mergeCell ref="F202:N202"/>
    <mergeCell ref="F203:N203"/>
    <mergeCell ref="F198:N198"/>
    <mergeCell ref="F199:N199"/>
    <mergeCell ref="F200:N200"/>
    <mergeCell ref="F201:N201"/>
    <mergeCell ref="F194:N194"/>
    <mergeCell ref="F195:N195"/>
    <mergeCell ref="F196:N196"/>
    <mergeCell ref="F186:N186"/>
    <mergeCell ref="F187:N187"/>
    <mergeCell ref="F188:N188"/>
    <mergeCell ref="F189:N189"/>
    <mergeCell ref="F197:N197"/>
    <mergeCell ref="F190:N190"/>
    <mergeCell ref="F191:N191"/>
    <mergeCell ref="F192:N192"/>
    <mergeCell ref="F193:N193"/>
    <mergeCell ref="F180:N180"/>
    <mergeCell ref="F181:N181"/>
    <mergeCell ref="F182:N182"/>
    <mergeCell ref="F183:N183"/>
    <mergeCell ref="F184:N184"/>
    <mergeCell ref="F185:N185"/>
    <mergeCell ref="F174:N174"/>
    <mergeCell ref="F175:N175"/>
    <mergeCell ref="F176:N176"/>
    <mergeCell ref="F177:N177"/>
    <mergeCell ref="F178:N178"/>
    <mergeCell ref="F179:N179"/>
    <mergeCell ref="F168:N168"/>
    <mergeCell ref="F169:N169"/>
    <mergeCell ref="F170:N170"/>
    <mergeCell ref="F171:N171"/>
    <mergeCell ref="F172:N172"/>
    <mergeCell ref="F173:N173"/>
    <mergeCell ref="F162:N162"/>
    <mergeCell ref="F163:N163"/>
    <mergeCell ref="F164:N164"/>
    <mergeCell ref="F165:N165"/>
    <mergeCell ref="F166:N166"/>
    <mergeCell ref="F167:N167"/>
    <mergeCell ref="F156:N156"/>
    <mergeCell ref="F157:N157"/>
    <mergeCell ref="F158:N158"/>
    <mergeCell ref="F159:N159"/>
    <mergeCell ref="F160:N160"/>
    <mergeCell ref="F161:N161"/>
    <mergeCell ref="F150:N150"/>
    <mergeCell ref="F151:N151"/>
    <mergeCell ref="F152:N152"/>
    <mergeCell ref="F153:N153"/>
    <mergeCell ref="F154:N154"/>
    <mergeCell ref="F155:N155"/>
    <mergeCell ref="F144:N144"/>
    <mergeCell ref="F145:N145"/>
    <mergeCell ref="F146:N146"/>
    <mergeCell ref="F147:N147"/>
    <mergeCell ref="F148:N148"/>
    <mergeCell ref="F149:N149"/>
    <mergeCell ref="F138:N138"/>
    <mergeCell ref="F139:N139"/>
    <mergeCell ref="F140:N140"/>
    <mergeCell ref="F141:N141"/>
    <mergeCell ref="F142:N142"/>
    <mergeCell ref="F143:N143"/>
    <mergeCell ref="F132:N132"/>
    <mergeCell ref="F133:N133"/>
    <mergeCell ref="F134:N134"/>
    <mergeCell ref="F135:N135"/>
    <mergeCell ref="F136:N136"/>
    <mergeCell ref="F137:N137"/>
    <mergeCell ref="F126:N126"/>
    <mergeCell ref="F127:N127"/>
    <mergeCell ref="F128:N128"/>
    <mergeCell ref="F129:N129"/>
    <mergeCell ref="F130:N130"/>
    <mergeCell ref="F131:N131"/>
    <mergeCell ref="F120:N120"/>
    <mergeCell ref="F121:N121"/>
    <mergeCell ref="F122:N122"/>
    <mergeCell ref="F123:N123"/>
    <mergeCell ref="F124:N124"/>
    <mergeCell ref="F125:N125"/>
    <mergeCell ref="F114:N114"/>
    <mergeCell ref="F115:N115"/>
    <mergeCell ref="F116:N116"/>
    <mergeCell ref="F117:N117"/>
    <mergeCell ref="F118:N118"/>
    <mergeCell ref="F119:N119"/>
    <mergeCell ref="F108:N108"/>
    <mergeCell ref="F109:N109"/>
    <mergeCell ref="F110:N110"/>
    <mergeCell ref="F111:N111"/>
    <mergeCell ref="F112:N112"/>
    <mergeCell ref="F113:N113"/>
    <mergeCell ref="F102:N102"/>
    <mergeCell ref="F103:N103"/>
    <mergeCell ref="F104:N104"/>
    <mergeCell ref="F105:N105"/>
    <mergeCell ref="F106:N106"/>
    <mergeCell ref="F107:N107"/>
    <mergeCell ref="F96:N96"/>
    <mergeCell ref="F97:N97"/>
    <mergeCell ref="F98:N98"/>
    <mergeCell ref="F99:N99"/>
    <mergeCell ref="F100:N100"/>
    <mergeCell ref="F101:N101"/>
    <mergeCell ref="F90:N90"/>
    <mergeCell ref="F91:N91"/>
    <mergeCell ref="F92:N92"/>
    <mergeCell ref="F93:N93"/>
    <mergeCell ref="F94:N94"/>
    <mergeCell ref="F95:N95"/>
    <mergeCell ref="F84:N84"/>
    <mergeCell ref="F85:N85"/>
    <mergeCell ref="F86:N86"/>
    <mergeCell ref="F87:N87"/>
    <mergeCell ref="F88:N88"/>
    <mergeCell ref="F89:N89"/>
    <mergeCell ref="F78:N78"/>
    <mergeCell ref="F79:N79"/>
    <mergeCell ref="F80:N80"/>
    <mergeCell ref="F81:N81"/>
    <mergeCell ref="F82:N82"/>
    <mergeCell ref="F83:N83"/>
    <mergeCell ref="F72:N72"/>
    <mergeCell ref="F73:N73"/>
    <mergeCell ref="F74:N74"/>
    <mergeCell ref="F75:N75"/>
    <mergeCell ref="F76:N76"/>
    <mergeCell ref="F77:N77"/>
    <mergeCell ref="F66:N66"/>
    <mergeCell ref="F67:N67"/>
    <mergeCell ref="F68:N68"/>
    <mergeCell ref="F69:N69"/>
    <mergeCell ref="F70:N70"/>
    <mergeCell ref="F71:N71"/>
    <mergeCell ref="F60:N60"/>
    <mergeCell ref="F61:N61"/>
    <mergeCell ref="F62:N62"/>
    <mergeCell ref="F63:N63"/>
    <mergeCell ref="F64:N64"/>
    <mergeCell ref="F65:N65"/>
    <mergeCell ref="F54:N54"/>
    <mergeCell ref="F55:N55"/>
    <mergeCell ref="F56:N56"/>
    <mergeCell ref="F57:N57"/>
    <mergeCell ref="F58:N58"/>
    <mergeCell ref="F59:N59"/>
    <mergeCell ref="F4:N4"/>
    <mergeCell ref="F5:N5"/>
    <mergeCell ref="F6:N6"/>
    <mergeCell ref="O3:W3"/>
    <mergeCell ref="O4:W4"/>
    <mergeCell ref="O5:W5"/>
    <mergeCell ref="O6:W6"/>
    <mergeCell ref="F11:N11"/>
    <mergeCell ref="F12:N12"/>
    <mergeCell ref="F13:N13"/>
    <mergeCell ref="F14:N14"/>
    <mergeCell ref="F7:N7"/>
    <mergeCell ref="F8:N8"/>
    <mergeCell ref="F9:N9"/>
    <mergeCell ref="F10:N10"/>
    <mergeCell ref="F19:N19"/>
    <mergeCell ref="F20:N20"/>
    <mergeCell ref="F21:N21"/>
    <mergeCell ref="F22:N22"/>
    <mergeCell ref="F15:N15"/>
    <mergeCell ref="F16:N16"/>
    <mergeCell ref="F17:N17"/>
    <mergeCell ref="F18:N18"/>
    <mergeCell ref="F27:N27"/>
    <mergeCell ref="F28:N28"/>
    <mergeCell ref="F29:N29"/>
    <mergeCell ref="F30:N30"/>
    <mergeCell ref="F23:N23"/>
    <mergeCell ref="F24:N24"/>
    <mergeCell ref="F25:N25"/>
    <mergeCell ref="F26:N26"/>
    <mergeCell ref="F35:N35"/>
    <mergeCell ref="F36:N36"/>
    <mergeCell ref="F37:N37"/>
    <mergeCell ref="F38:N38"/>
    <mergeCell ref="F31:N31"/>
    <mergeCell ref="F32:N32"/>
    <mergeCell ref="F33:N33"/>
    <mergeCell ref="F34:N34"/>
    <mergeCell ref="F45:N45"/>
    <mergeCell ref="F46:N46"/>
    <mergeCell ref="F39:N39"/>
    <mergeCell ref="F40:N40"/>
    <mergeCell ref="F41:N41"/>
    <mergeCell ref="F42:N42"/>
    <mergeCell ref="F43:N43"/>
    <mergeCell ref="F44:N44"/>
    <mergeCell ref="F51:N51"/>
    <mergeCell ref="F52:N52"/>
    <mergeCell ref="F53:N53"/>
    <mergeCell ref="F47:N47"/>
    <mergeCell ref="F48:N48"/>
    <mergeCell ref="F49:N49"/>
    <mergeCell ref="F50:N50"/>
  </mergeCells>
  <printOptions/>
  <pageMargins left="0.75" right="0.75" top="1" bottom="1" header="0.5" footer="0.5"/>
  <pageSetup horizontalDpi="2540" verticalDpi="254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L200"/>
  <sheetViews>
    <sheetView showGridLines="0" showRowColHeaders="0" zoomScale="150" zoomScaleNormal="150" workbookViewId="0" topLeftCell="D1">
      <pane ySplit="3" topLeftCell="BM4" activePane="bottomLeft" state="frozen"/>
      <selection pane="topLeft" activeCell="D1" sqref="D1"/>
      <selection pane="bottomLeft" activeCell="D1" sqref="D1"/>
    </sheetView>
  </sheetViews>
  <sheetFormatPr defaultColWidth="9.140625" defaultRowHeight="12.75"/>
  <cols>
    <col min="1" max="2" width="0" style="200" hidden="1" customWidth="1"/>
    <col min="3" max="3" width="0" style="115" hidden="1" customWidth="1"/>
    <col min="4" max="4" width="4.421875" style="120" customWidth="1"/>
    <col min="5" max="5" width="12.140625" style="115" customWidth="1"/>
    <col min="6" max="6" width="41.7109375" style="115" customWidth="1"/>
    <col min="7" max="7" width="13.421875" style="115" customWidth="1"/>
    <col min="8" max="8" width="7.7109375" style="201" customWidth="1"/>
    <col min="9" max="9" width="7.7109375" style="115" customWidth="1"/>
    <col min="10" max="10" width="18.421875" style="115" customWidth="1"/>
    <col min="11" max="11" width="8.421875" style="202" customWidth="1"/>
    <col min="12" max="12" width="8.421875" style="115" customWidth="1"/>
    <col min="13" max="16384" width="9.140625" style="115" customWidth="1"/>
  </cols>
  <sheetData>
    <row r="1" spans="4:11" ht="10.5">
      <c r="D1" s="115"/>
      <c r="F1" s="209" t="s">
        <v>328</v>
      </c>
      <c r="G1" s="117">
        <f>'Treasurer Creator'!AH30</f>
        <v>0</v>
      </c>
      <c r="J1" s="120" t="s">
        <v>24</v>
      </c>
      <c r="K1" s="119">
        <f>SUM(L4:L104)</f>
        <v>0</v>
      </c>
    </row>
    <row r="2" spans="2:12" ht="12.75" customHeight="1">
      <c r="B2" s="115"/>
      <c r="H2" s="221" t="s">
        <v>66</v>
      </c>
      <c r="I2" s="220" t="s">
        <v>333</v>
      </c>
      <c r="J2" s="220" t="s">
        <v>68</v>
      </c>
      <c r="K2" s="221" t="s">
        <v>64</v>
      </c>
      <c r="L2" s="220" t="s">
        <v>65</v>
      </c>
    </row>
    <row r="3" spans="1:12" s="120" customFormat="1" ht="10.5">
      <c r="A3" s="120" t="s">
        <v>329</v>
      </c>
      <c r="B3" s="120" t="s">
        <v>229</v>
      </c>
      <c r="C3" s="120" t="s">
        <v>230</v>
      </c>
      <c r="D3" s="212"/>
      <c r="E3" s="118" t="s">
        <v>330</v>
      </c>
      <c r="F3" s="118" t="s">
        <v>19</v>
      </c>
      <c r="G3" s="120" t="s">
        <v>307</v>
      </c>
      <c r="H3" s="221"/>
      <c r="I3" s="220"/>
      <c r="J3" s="220"/>
      <c r="K3" s="221"/>
      <c r="L3" s="220"/>
    </row>
    <row r="4" spans="1:12" s="204" customFormat="1" ht="30.75" customHeight="1">
      <c r="A4" s="203">
        <f aca="true" ca="1" t="shared" si="0" ref="A4:A35">RANDBETWEEN(1,184)</f>
        <v>49</v>
      </c>
      <c r="B4" s="203">
        <f aca="true" ca="1" t="shared" si="1" ref="B4:B35">RANDBETWEEN(1,27)</f>
        <v>20</v>
      </c>
      <c r="D4" s="208">
        <f>IF(G1&gt;0,1,"")</f>
      </c>
      <c r="E4" s="99">
        <f>IF(D4="","",LOOKUP(A4,'Jewelry calculations'!$A$3:$A$186,'Jewelry calculations'!$B$3:$B$186))</f>
      </c>
      <c r="F4" s="101">
        <f>IF(E4="","",LOOKUP(A4,'Jewelry calculations'!$A$3:$A$186,'Jewelry calculations'!$M$3:$M$186))</f>
      </c>
      <c r="G4" s="204">
        <f>IF(E4="","",LOOKUP(A4,'Jewelry calculations'!$A$3:$A$186,'Jewelry calculations'!$F$3:$F$186))</f>
      </c>
      <c r="H4" s="205">
        <f ca="1">IF(E4="","",RANDBETWEEN(LOOKUP(A4,'Jewelry calculations'!$A$3:$A$186,'Jewelry calculations'!$G$3:$G$186),LOOKUP(A4,'Jewelry calculations'!$A$3:$A$186,'Jewelry calculations'!$H$3:$H$186)))</f>
      </c>
      <c r="I4" s="203">
        <f ca="1">IF(E4="","",RANDBETWEEN(LOOKUP(A4,'Jewelry calculations'!$A$3:$A$186,'Jewelry calculations'!$D$3:$D$186),LOOKUP(A4,'Jewelry calculations'!$A$3:$A$186,'Jewelry calculations'!$E$3:$E$186)))</f>
      </c>
      <c r="J4" s="207">
        <f ca="1">IF(OR(I4=0,I4=""),"",LOOKUP(RANDBETWEEN(1,53),'Gem types'!$B$3:$B$55,'Gem types'!$C$3:$C$55))</f>
      </c>
      <c r="K4" s="205">
        <f>IF(OR(I4=0,I4=""),"",SUM(LOOKUP(LOOKUP(A4,'Jewelry calculations'!$A$3:$A$186,'Jewelry calculations'!$I$3:$I$186),'Gem types'!$B$3:$B$55,'Gem types'!$G$3:$G$55),PRODUCT(LOOKUP(LOOKUP(A4,'Jewelry calculations'!$A$3:$A$186,'Jewelry calculations'!$I$3:$I$186),'Gem types'!$B$3:$B$55,'Gem types'!$G$3:$G$55),LOOKUP(B4,'Gem types'!$I$3:$I$29,'Gem types'!$J$3:$J$29))))</f>
      </c>
      <c r="L4" s="205">
        <f>IF(E4="","",SUM(H4,K4))</f>
      </c>
    </row>
    <row r="5" spans="1:12" s="204" customFormat="1" ht="30.75" customHeight="1">
      <c r="A5" s="203">
        <f ca="1" t="shared" si="0"/>
        <v>88</v>
      </c>
      <c r="B5" s="203">
        <f ca="1" t="shared" si="1"/>
        <v>16</v>
      </c>
      <c r="D5" s="208">
        <f aca="true" t="shared" si="2" ref="D5:D36">IF($G$1&gt;D4,SUM(D4+1),"")</f>
      </c>
      <c r="E5" s="99">
        <f>IF(D5="","",LOOKUP(A5,'Jewelry calculations'!$A$3:$A$186,'Jewelry calculations'!$B$3:$B$186))</f>
      </c>
      <c r="F5" s="101">
        <f>IF(E5="","",LOOKUP(A5,'Jewelry calculations'!$A$3:$A$186,'Jewelry calculations'!$M$3:$M$186))</f>
      </c>
      <c r="G5" s="204">
        <f>IF(E5="","",LOOKUP(A5,'Jewelry calculations'!$A$3:$A$186,'Jewelry calculations'!$F$3:$F$186))</f>
      </c>
      <c r="H5" s="205">
        <f ca="1">IF(E5="","",RANDBETWEEN(LOOKUP(A5,'Jewelry calculations'!$A$3:$A$186,'Jewelry calculations'!$G$3:$G$186),LOOKUP(A5,'Jewelry calculations'!$A$3:$A$186,'Jewelry calculations'!$H$3:$H$186)))</f>
      </c>
      <c r="I5" s="203">
        <f ca="1">IF(E5="","",RANDBETWEEN(LOOKUP(A5,'Jewelry calculations'!$A$3:$A$186,'Jewelry calculations'!$D$3:$D$186),LOOKUP(A5,'Jewelry calculations'!$A$3:$A$186,'Jewelry calculations'!$E$3:$E$186)))</f>
      </c>
      <c r="J5" s="207">
        <f ca="1">IF(OR(I5=0,I5=""),"",LOOKUP(RANDBETWEEN(1,53),'Gem types'!$B$3:$B$55,'Gem types'!$C$3:$C$55))</f>
      </c>
      <c r="K5" s="205">
        <f>IF(OR(I5=0,I5=""),"",SUM(LOOKUP(LOOKUP(A5,'Jewelry calculations'!$A$3:$A$186,'Jewelry calculations'!$I$3:$I$186),'Gem types'!$B$3:$B$55,'Gem types'!$G$3:$G$55),PRODUCT(LOOKUP(LOOKUP(A5,'Jewelry calculations'!$A$3:$A$186,'Jewelry calculations'!$I$3:$I$186),'Gem types'!$B$3:$B$55,'Gem types'!$G$3:$G$55),LOOKUP(B5,'Gem types'!$I$3:$I$29,'Gem types'!$J$3:$J$29))))</f>
      </c>
      <c r="L5" s="205">
        <f aca="true" t="shared" si="3" ref="L5:L68">IF(E5="","",SUM(H5,K5))</f>
      </c>
    </row>
    <row r="6" spans="1:12" s="204" customFormat="1" ht="30.75" customHeight="1">
      <c r="A6" s="203">
        <f ca="1" t="shared" si="0"/>
        <v>105</v>
      </c>
      <c r="B6" s="203">
        <f ca="1" t="shared" si="1"/>
        <v>14</v>
      </c>
      <c r="D6" s="208">
        <f t="shared" si="2"/>
      </c>
      <c r="E6" s="99">
        <f>IF(D6="","",LOOKUP(A6,'Jewelry calculations'!$A$3:$A$186,'Jewelry calculations'!$B$3:$B$186))</f>
      </c>
      <c r="F6" s="101">
        <f>IF(E6="","",LOOKUP(A6,'Jewelry calculations'!$A$3:$A$186,'Jewelry calculations'!$M$3:$M$186))</f>
      </c>
      <c r="G6" s="204">
        <f>IF(E6="","",LOOKUP(A6,'Jewelry calculations'!$A$3:$A$186,'Jewelry calculations'!$F$3:$F$186))</f>
      </c>
      <c r="H6" s="205">
        <f ca="1">IF(E6="","",RANDBETWEEN(LOOKUP(A6,'Jewelry calculations'!$A$3:$A$186,'Jewelry calculations'!$G$3:$G$186),LOOKUP(A6,'Jewelry calculations'!$A$3:$A$186,'Jewelry calculations'!$H$3:$H$186)))</f>
      </c>
      <c r="I6" s="203">
        <f ca="1">IF(E6="","",RANDBETWEEN(LOOKUP(A6,'Jewelry calculations'!$A$3:$A$186,'Jewelry calculations'!$D$3:$D$186),LOOKUP(A6,'Jewelry calculations'!$A$3:$A$186,'Jewelry calculations'!$E$3:$E$186)))</f>
      </c>
      <c r="J6" s="207">
        <f ca="1">IF(OR(I6=0,I6=""),"",LOOKUP(RANDBETWEEN(1,53),'Gem types'!$B$3:$B$55,'Gem types'!$C$3:$C$55))</f>
      </c>
      <c r="K6" s="205">
        <f>IF(OR(I6=0,I6=""),"",SUM(LOOKUP(LOOKUP(A6,'Jewelry calculations'!$A$3:$A$186,'Jewelry calculations'!$I$3:$I$186),'Gem types'!$B$3:$B$55,'Gem types'!$G$3:$G$55),PRODUCT(LOOKUP(LOOKUP(A6,'Jewelry calculations'!$A$3:$A$186,'Jewelry calculations'!$I$3:$I$186),'Gem types'!$B$3:$B$55,'Gem types'!$G$3:$G$55),LOOKUP(B6,'Gem types'!$I$3:$I$29,'Gem types'!$J$3:$J$29))))</f>
      </c>
      <c r="L6" s="205">
        <f t="shared" si="3"/>
      </c>
    </row>
    <row r="7" spans="1:12" s="204" customFormat="1" ht="30.75" customHeight="1">
      <c r="A7" s="203">
        <f ca="1" t="shared" si="0"/>
        <v>117</v>
      </c>
      <c r="B7" s="203">
        <f ca="1" t="shared" si="1"/>
        <v>21</v>
      </c>
      <c r="D7" s="208">
        <f t="shared" si="2"/>
      </c>
      <c r="E7" s="99">
        <f>IF(D7="","",LOOKUP(A7,'Jewelry calculations'!$A$3:$A$186,'Jewelry calculations'!$B$3:$B$186))</f>
      </c>
      <c r="F7" s="101">
        <f>IF(E7="","",LOOKUP(A7,'Jewelry calculations'!$A$3:$A$186,'Jewelry calculations'!$M$3:$M$186))</f>
      </c>
      <c r="G7" s="204">
        <f>IF(E7="","",LOOKUP(A7,'Jewelry calculations'!$A$3:$A$186,'Jewelry calculations'!$F$3:$F$186))</f>
      </c>
      <c r="H7" s="205">
        <f ca="1">IF(E7="","",RANDBETWEEN(LOOKUP(A7,'Jewelry calculations'!$A$3:$A$186,'Jewelry calculations'!$G$3:$G$186),LOOKUP(A7,'Jewelry calculations'!$A$3:$A$186,'Jewelry calculations'!$H$3:$H$186)))</f>
      </c>
      <c r="I7" s="203">
        <f ca="1">IF(E7="","",RANDBETWEEN(LOOKUP(A7,'Jewelry calculations'!$A$3:$A$186,'Jewelry calculations'!$D$3:$D$186),LOOKUP(A7,'Jewelry calculations'!$A$3:$A$186,'Jewelry calculations'!$E$3:$E$186)))</f>
      </c>
      <c r="J7" s="207">
        <f ca="1">IF(OR(I7=0,I7=""),"",LOOKUP(RANDBETWEEN(1,53),'Gem types'!$B$3:$B$55,'Gem types'!$C$3:$C$55))</f>
      </c>
      <c r="K7" s="205">
        <f>IF(OR(I7=0,I7=""),"",SUM(LOOKUP(LOOKUP(A7,'Jewelry calculations'!$A$3:$A$186,'Jewelry calculations'!$I$3:$I$186),'Gem types'!$B$3:$B$55,'Gem types'!$G$3:$G$55),PRODUCT(LOOKUP(LOOKUP(A7,'Jewelry calculations'!$A$3:$A$186,'Jewelry calculations'!$I$3:$I$186),'Gem types'!$B$3:$B$55,'Gem types'!$G$3:$G$55),LOOKUP(B7,'Gem types'!$I$3:$I$29,'Gem types'!$J$3:$J$29))))</f>
      </c>
      <c r="L7" s="205">
        <f t="shared" si="3"/>
      </c>
    </row>
    <row r="8" spans="1:12" s="204" customFormat="1" ht="30.75" customHeight="1">
      <c r="A8" s="203">
        <f ca="1" t="shared" si="0"/>
        <v>163</v>
      </c>
      <c r="B8" s="203">
        <f ca="1" t="shared" si="1"/>
        <v>12</v>
      </c>
      <c r="D8" s="208">
        <f t="shared" si="2"/>
      </c>
      <c r="E8" s="99">
        <f>IF(D8="","",LOOKUP(A8,'Jewelry calculations'!$A$3:$A$186,'Jewelry calculations'!$B$3:$B$186))</f>
      </c>
      <c r="F8" s="101">
        <f>IF(E8="","",LOOKUP(A8,'Jewelry calculations'!$A$3:$A$186,'Jewelry calculations'!$M$3:$M$186))</f>
      </c>
      <c r="G8" s="204">
        <f>IF(E8="","",LOOKUP(A8,'Jewelry calculations'!$A$3:$A$186,'Jewelry calculations'!$F$3:$F$186))</f>
      </c>
      <c r="H8" s="205">
        <f ca="1">IF(E8="","",RANDBETWEEN(LOOKUP(A8,'Jewelry calculations'!$A$3:$A$186,'Jewelry calculations'!$G$3:$G$186),LOOKUP(A8,'Jewelry calculations'!$A$3:$A$186,'Jewelry calculations'!$H$3:$H$186)))</f>
      </c>
      <c r="I8" s="203">
        <f ca="1">IF(E8="","",RANDBETWEEN(LOOKUP(A8,'Jewelry calculations'!$A$3:$A$186,'Jewelry calculations'!$D$3:$D$186),LOOKUP(A8,'Jewelry calculations'!$A$3:$A$186,'Jewelry calculations'!$E$3:$E$186)))</f>
      </c>
      <c r="J8" s="207">
        <f ca="1">IF(OR(I8=0,I8=""),"",LOOKUP(RANDBETWEEN(1,53),'Gem types'!$B$3:$B$55,'Gem types'!$C$3:$C$55))</f>
      </c>
      <c r="K8" s="205">
        <f>IF(OR(I8=0,I8=""),"",SUM(LOOKUP(LOOKUP(A8,'Jewelry calculations'!$A$3:$A$186,'Jewelry calculations'!$I$3:$I$186),'Gem types'!$B$3:$B$55,'Gem types'!$G$3:$G$55),PRODUCT(LOOKUP(LOOKUP(A8,'Jewelry calculations'!$A$3:$A$186,'Jewelry calculations'!$I$3:$I$186),'Gem types'!$B$3:$B$55,'Gem types'!$G$3:$G$55),LOOKUP(B8,'Gem types'!$I$3:$I$29,'Gem types'!$J$3:$J$29))))</f>
      </c>
      <c r="L8" s="205">
        <f t="shared" si="3"/>
      </c>
    </row>
    <row r="9" spans="1:12" s="204" customFormat="1" ht="30.75" customHeight="1">
      <c r="A9" s="203">
        <f ca="1" t="shared" si="0"/>
        <v>108</v>
      </c>
      <c r="B9" s="203">
        <f ca="1" t="shared" si="1"/>
        <v>7</v>
      </c>
      <c r="D9" s="208">
        <f t="shared" si="2"/>
      </c>
      <c r="E9" s="99">
        <f>IF(D9="","",LOOKUP(A9,'Jewelry calculations'!$A$3:$A$186,'Jewelry calculations'!$B$3:$B$186))</f>
      </c>
      <c r="F9" s="101">
        <f>IF(E9="","",LOOKUP(A9,'Jewelry calculations'!$A$3:$A$186,'Jewelry calculations'!$M$3:$M$186))</f>
      </c>
      <c r="G9" s="204">
        <f>IF(E9="","",LOOKUP(A9,'Jewelry calculations'!$A$3:$A$186,'Jewelry calculations'!$F$3:$F$186))</f>
      </c>
      <c r="H9" s="205">
        <f ca="1">IF(E9="","",RANDBETWEEN(LOOKUP(A9,'Jewelry calculations'!$A$3:$A$186,'Jewelry calculations'!$G$3:$G$186),LOOKUP(A9,'Jewelry calculations'!$A$3:$A$186,'Jewelry calculations'!$H$3:$H$186)))</f>
      </c>
      <c r="I9" s="203">
        <f ca="1">IF(E9="","",RANDBETWEEN(LOOKUP(A9,'Jewelry calculations'!$A$3:$A$186,'Jewelry calculations'!$D$3:$D$186),LOOKUP(A9,'Jewelry calculations'!$A$3:$A$186,'Jewelry calculations'!$E$3:$E$186)))</f>
      </c>
      <c r="J9" s="207">
        <f ca="1">IF(OR(I9=0,I9=""),"",LOOKUP(RANDBETWEEN(1,53),'Gem types'!$B$3:$B$55,'Gem types'!$C$3:$C$55))</f>
      </c>
      <c r="K9" s="205">
        <f>IF(OR(I9=0,I9=""),"",SUM(LOOKUP(LOOKUP(A9,'Jewelry calculations'!$A$3:$A$186,'Jewelry calculations'!$I$3:$I$186),'Gem types'!$B$3:$B$55,'Gem types'!$G$3:$G$55),PRODUCT(LOOKUP(LOOKUP(A9,'Jewelry calculations'!$A$3:$A$186,'Jewelry calculations'!$I$3:$I$186),'Gem types'!$B$3:$B$55,'Gem types'!$G$3:$G$55),LOOKUP(B9,'Gem types'!$I$3:$I$29,'Gem types'!$J$3:$J$29))))</f>
      </c>
      <c r="L9" s="205">
        <f t="shared" si="3"/>
      </c>
    </row>
    <row r="10" spans="1:12" s="204" customFormat="1" ht="30.75" customHeight="1">
      <c r="A10" s="203">
        <f ca="1" t="shared" si="0"/>
        <v>69</v>
      </c>
      <c r="B10" s="203">
        <f ca="1" t="shared" si="1"/>
        <v>14</v>
      </c>
      <c r="D10" s="208">
        <f t="shared" si="2"/>
      </c>
      <c r="E10" s="99">
        <f>IF(D10="","",LOOKUP(A10,'Jewelry calculations'!$A$3:$A$186,'Jewelry calculations'!$B$3:$B$186))</f>
      </c>
      <c r="F10" s="101">
        <f>IF(E10="","",LOOKUP(A10,'Jewelry calculations'!$A$3:$A$186,'Jewelry calculations'!$M$3:$M$186))</f>
      </c>
      <c r="G10" s="204">
        <f>IF(E10="","",LOOKUP(A10,'Jewelry calculations'!$A$3:$A$186,'Jewelry calculations'!$F$3:$F$186))</f>
      </c>
      <c r="H10" s="205">
        <f ca="1">IF(E10="","",RANDBETWEEN(LOOKUP(A10,'Jewelry calculations'!$A$3:$A$186,'Jewelry calculations'!$G$3:$G$186),LOOKUP(A10,'Jewelry calculations'!$A$3:$A$186,'Jewelry calculations'!$H$3:$H$186)))</f>
      </c>
      <c r="I10" s="203">
        <f ca="1">IF(E10="","",RANDBETWEEN(LOOKUP(A10,'Jewelry calculations'!$A$3:$A$186,'Jewelry calculations'!$D$3:$D$186),LOOKUP(A10,'Jewelry calculations'!$A$3:$A$186,'Jewelry calculations'!$E$3:$E$186)))</f>
      </c>
      <c r="J10" s="207">
        <f ca="1">IF(OR(I10=0,I10=""),"",LOOKUP(RANDBETWEEN(1,53),'Gem types'!$B$3:$B$55,'Gem types'!$C$3:$C$55))</f>
      </c>
      <c r="K10" s="205">
        <f>IF(OR(I10=0,I10=""),"",SUM(LOOKUP(LOOKUP(A10,'Jewelry calculations'!$A$3:$A$186,'Jewelry calculations'!$I$3:$I$186),'Gem types'!$B$3:$B$55,'Gem types'!$G$3:$G$55),PRODUCT(LOOKUP(LOOKUP(A10,'Jewelry calculations'!$A$3:$A$186,'Jewelry calculations'!$I$3:$I$186),'Gem types'!$B$3:$B$55,'Gem types'!$G$3:$G$55),LOOKUP(B10,'Gem types'!$I$3:$I$29,'Gem types'!$J$3:$J$29))))</f>
      </c>
      <c r="L10" s="205">
        <f t="shared" si="3"/>
      </c>
    </row>
    <row r="11" spans="1:12" s="204" customFormat="1" ht="30.75" customHeight="1">
      <c r="A11" s="203">
        <f ca="1" t="shared" si="0"/>
        <v>60</v>
      </c>
      <c r="B11" s="203">
        <f ca="1" t="shared" si="1"/>
        <v>24</v>
      </c>
      <c r="D11" s="208">
        <f t="shared" si="2"/>
      </c>
      <c r="E11" s="99">
        <f>IF(D11="","",LOOKUP(A11,'Jewelry calculations'!$A$3:$A$186,'Jewelry calculations'!$B$3:$B$186))</f>
      </c>
      <c r="F11" s="101">
        <f>IF(E11="","",LOOKUP(A11,'Jewelry calculations'!$A$3:$A$186,'Jewelry calculations'!$M$3:$M$186))</f>
      </c>
      <c r="G11" s="204">
        <f>IF(E11="","",LOOKUP(A11,'Jewelry calculations'!$A$3:$A$186,'Jewelry calculations'!$F$3:$F$186))</f>
      </c>
      <c r="H11" s="205">
        <f ca="1">IF(E11="","",RANDBETWEEN(LOOKUP(A11,'Jewelry calculations'!$A$3:$A$186,'Jewelry calculations'!$G$3:$G$186),LOOKUP(A11,'Jewelry calculations'!$A$3:$A$186,'Jewelry calculations'!$H$3:$H$186)))</f>
      </c>
      <c r="I11" s="203">
        <f ca="1">IF(E11="","",RANDBETWEEN(LOOKUP(A11,'Jewelry calculations'!$A$3:$A$186,'Jewelry calculations'!$D$3:$D$186),LOOKUP(A11,'Jewelry calculations'!$A$3:$A$186,'Jewelry calculations'!$E$3:$E$186)))</f>
      </c>
      <c r="J11" s="207">
        <f ca="1">IF(OR(I11=0,I11=""),"",LOOKUP(RANDBETWEEN(1,53),'Gem types'!$B$3:$B$55,'Gem types'!$C$3:$C$55))</f>
      </c>
      <c r="K11" s="205">
        <f>IF(OR(I11=0,I11=""),"",SUM(LOOKUP(LOOKUP(A11,'Jewelry calculations'!$A$3:$A$186,'Jewelry calculations'!$I$3:$I$186),'Gem types'!$B$3:$B$55,'Gem types'!$G$3:$G$55),PRODUCT(LOOKUP(LOOKUP(A11,'Jewelry calculations'!$A$3:$A$186,'Jewelry calculations'!$I$3:$I$186),'Gem types'!$B$3:$B$55,'Gem types'!$G$3:$G$55),LOOKUP(B11,'Gem types'!$I$3:$I$29,'Gem types'!$J$3:$J$29))))</f>
      </c>
      <c r="L11" s="205">
        <f t="shared" si="3"/>
      </c>
    </row>
    <row r="12" spans="1:12" s="204" customFormat="1" ht="30.75" customHeight="1">
      <c r="A12" s="203">
        <f ca="1" t="shared" si="0"/>
        <v>170</v>
      </c>
      <c r="B12" s="203">
        <f ca="1" t="shared" si="1"/>
        <v>9</v>
      </c>
      <c r="D12" s="208">
        <f t="shared" si="2"/>
      </c>
      <c r="E12" s="99">
        <f>IF(D12="","",LOOKUP(A12,'Jewelry calculations'!$A$3:$A$186,'Jewelry calculations'!$B$3:$B$186))</f>
      </c>
      <c r="F12" s="101">
        <f>IF(E12="","",LOOKUP(A12,'Jewelry calculations'!$A$3:$A$186,'Jewelry calculations'!$M$3:$M$186))</f>
      </c>
      <c r="G12" s="204">
        <f>IF(E12="","",LOOKUP(A12,'Jewelry calculations'!$A$3:$A$186,'Jewelry calculations'!$F$3:$F$186))</f>
      </c>
      <c r="H12" s="205">
        <f ca="1">IF(E12="","",RANDBETWEEN(LOOKUP(A12,'Jewelry calculations'!$A$3:$A$186,'Jewelry calculations'!$G$3:$G$186),LOOKUP(A12,'Jewelry calculations'!$A$3:$A$186,'Jewelry calculations'!$H$3:$H$186)))</f>
      </c>
      <c r="I12" s="203">
        <f ca="1">IF(E12="","",RANDBETWEEN(LOOKUP(A12,'Jewelry calculations'!$A$3:$A$186,'Jewelry calculations'!$D$3:$D$186),LOOKUP(A12,'Jewelry calculations'!$A$3:$A$186,'Jewelry calculations'!$E$3:$E$186)))</f>
      </c>
      <c r="J12" s="207">
        <f ca="1">IF(OR(I12=0,I12=""),"",LOOKUP(RANDBETWEEN(1,53),'Gem types'!$B$3:$B$55,'Gem types'!$C$3:$C$55))</f>
      </c>
      <c r="K12" s="205">
        <f>IF(OR(I12=0,I12=""),"",SUM(LOOKUP(LOOKUP(A12,'Jewelry calculations'!$A$3:$A$186,'Jewelry calculations'!$I$3:$I$186),'Gem types'!$B$3:$B$55,'Gem types'!$G$3:$G$55),PRODUCT(LOOKUP(LOOKUP(A12,'Jewelry calculations'!$A$3:$A$186,'Jewelry calculations'!$I$3:$I$186),'Gem types'!$B$3:$B$55,'Gem types'!$G$3:$G$55),LOOKUP(B12,'Gem types'!$I$3:$I$29,'Gem types'!$J$3:$J$29))))</f>
      </c>
      <c r="L12" s="205">
        <f t="shared" si="3"/>
      </c>
    </row>
    <row r="13" spans="1:12" s="204" customFormat="1" ht="30.75" customHeight="1">
      <c r="A13" s="203">
        <f ca="1" t="shared" si="0"/>
        <v>124</v>
      </c>
      <c r="B13" s="203">
        <f ca="1" t="shared" si="1"/>
        <v>14</v>
      </c>
      <c r="D13" s="208">
        <f t="shared" si="2"/>
      </c>
      <c r="E13" s="99">
        <f>IF(D13="","",LOOKUP(A13,'Jewelry calculations'!$A$3:$A$186,'Jewelry calculations'!$B$3:$B$186))</f>
      </c>
      <c r="F13" s="101">
        <f>IF(E13="","",LOOKUP(A13,'Jewelry calculations'!$A$3:$A$186,'Jewelry calculations'!$M$3:$M$186))</f>
      </c>
      <c r="G13" s="204">
        <f>IF(E13="","",LOOKUP(A13,'Jewelry calculations'!$A$3:$A$186,'Jewelry calculations'!$F$3:$F$186))</f>
      </c>
      <c r="H13" s="205">
        <f ca="1">IF(E13="","",RANDBETWEEN(LOOKUP(A13,'Jewelry calculations'!$A$3:$A$186,'Jewelry calculations'!$G$3:$G$186),LOOKUP(A13,'Jewelry calculations'!$A$3:$A$186,'Jewelry calculations'!$H$3:$H$186)))</f>
      </c>
      <c r="I13" s="203">
        <f ca="1">IF(E13="","",RANDBETWEEN(LOOKUP(A13,'Jewelry calculations'!$A$3:$A$186,'Jewelry calculations'!$D$3:$D$186),LOOKUP(A13,'Jewelry calculations'!$A$3:$A$186,'Jewelry calculations'!$E$3:$E$186)))</f>
      </c>
      <c r="J13" s="207">
        <f ca="1">IF(OR(I13=0,I13=""),"",LOOKUP(RANDBETWEEN(1,53),'Gem types'!$B$3:$B$55,'Gem types'!$C$3:$C$55))</f>
      </c>
      <c r="K13" s="205">
        <f>IF(OR(I13=0,I13=""),"",SUM(LOOKUP(LOOKUP(A13,'Jewelry calculations'!$A$3:$A$186,'Jewelry calculations'!$I$3:$I$186),'Gem types'!$B$3:$B$55,'Gem types'!$G$3:$G$55),PRODUCT(LOOKUP(LOOKUP(A13,'Jewelry calculations'!$A$3:$A$186,'Jewelry calculations'!$I$3:$I$186),'Gem types'!$B$3:$B$55,'Gem types'!$G$3:$G$55),LOOKUP(B13,'Gem types'!$I$3:$I$29,'Gem types'!$J$3:$J$29))))</f>
      </c>
      <c r="L13" s="205">
        <f t="shared" si="3"/>
      </c>
    </row>
    <row r="14" spans="1:12" s="204" customFormat="1" ht="30.75" customHeight="1">
      <c r="A14" s="203">
        <f ca="1" t="shared" si="0"/>
        <v>35</v>
      </c>
      <c r="B14" s="203">
        <f ca="1" t="shared" si="1"/>
        <v>3</v>
      </c>
      <c r="D14" s="208">
        <f t="shared" si="2"/>
      </c>
      <c r="E14" s="99">
        <f>IF(D14="","",LOOKUP(A14,'Jewelry calculations'!$A$3:$A$186,'Jewelry calculations'!$B$3:$B$186))</f>
      </c>
      <c r="F14" s="101">
        <f>IF(E14="","",LOOKUP(A14,'Jewelry calculations'!$A$3:$A$186,'Jewelry calculations'!$M$3:$M$186))</f>
      </c>
      <c r="G14" s="204">
        <f>IF(E14="","",LOOKUP(A14,'Jewelry calculations'!$A$3:$A$186,'Jewelry calculations'!$F$3:$F$186))</f>
      </c>
      <c r="H14" s="205">
        <f ca="1">IF(E14="","",RANDBETWEEN(LOOKUP(A14,'Jewelry calculations'!$A$3:$A$186,'Jewelry calculations'!$G$3:$G$186),LOOKUP(A14,'Jewelry calculations'!$A$3:$A$186,'Jewelry calculations'!$H$3:$H$186)))</f>
      </c>
      <c r="I14" s="203">
        <f ca="1">IF(E14="","",RANDBETWEEN(LOOKUP(A14,'Jewelry calculations'!$A$3:$A$186,'Jewelry calculations'!$D$3:$D$186),LOOKUP(A14,'Jewelry calculations'!$A$3:$A$186,'Jewelry calculations'!$E$3:$E$186)))</f>
      </c>
      <c r="J14" s="207">
        <f ca="1">IF(OR(I14=0,I14=""),"",LOOKUP(RANDBETWEEN(1,53),'Gem types'!$B$3:$B$55,'Gem types'!$C$3:$C$55))</f>
      </c>
      <c r="K14" s="205">
        <f>IF(OR(I14=0,I14=""),"",SUM(LOOKUP(LOOKUP(A14,'Jewelry calculations'!$A$3:$A$186,'Jewelry calculations'!$I$3:$I$186),'Gem types'!$B$3:$B$55,'Gem types'!$G$3:$G$55),PRODUCT(LOOKUP(LOOKUP(A14,'Jewelry calculations'!$A$3:$A$186,'Jewelry calculations'!$I$3:$I$186),'Gem types'!$B$3:$B$55,'Gem types'!$G$3:$G$55),LOOKUP(B14,'Gem types'!$I$3:$I$29,'Gem types'!$J$3:$J$29))))</f>
      </c>
      <c r="L14" s="205">
        <f t="shared" si="3"/>
      </c>
    </row>
    <row r="15" spans="1:12" s="204" customFormat="1" ht="30.75" customHeight="1">
      <c r="A15" s="203">
        <f ca="1" t="shared" si="0"/>
        <v>77</v>
      </c>
      <c r="B15" s="203">
        <f ca="1" t="shared" si="1"/>
        <v>21</v>
      </c>
      <c r="D15" s="208">
        <f t="shared" si="2"/>
      </c>
      <c r="E15" s="99">
        <f>IF(D15="","",LOOKUP(A15,'Jewelry calculations'!$A$3:$A$186,'Jewelry calculations'!$B$3:$B$186))</f>
      </c>
      <c r="F15" s="101">
        <f>IF(E15="","",LOOKUP(A15,'Jewelry calculations'!$A$3:$A$186,'Jewelry calculations'!$M$3:$M$186))</f>
      </c>
      <c r="G15" s="204">
        <f>IF(E15="","",LOOKUP(A15,'Jewelry calculations'!$A$3:$A$186,'Jewelry calculations'!$F$3:$F$186))</f>
      </c>
      <c r="H15" s="205">
        <f ca="1">IF(E15="","",RANDBETWEEN(LOOKUP(A15,'Jewelry calculations'!$A$3:$A$186,'Jewelry calculations'!$G$3:$G$186),LOOKUP(A15,'Jewelry calculations'!$A$3:$A$186,'Jewelry calculations'!$H$3:$H$186)))</f>
      </c>
      <c r="I15" s="203">
        <f ca="1">IF(E15="","",RANDBETWEEN(LOOKUP(A15,'Jewelry calculations'!$A$3:$A$186,'Jewelry calculations'!$D$3:$D$186),LOOKUP(A15,'Jewelry calculations'!$A$3:$A$186,'Jewelry calculations'!$E$3:$E$186)))</f>
      </c>
      <c r="J15" s="207">
        <f ca="1">IF(OR(I15=0,I15=""),"",LOOKUP(RANDBETWEEN(1,53),'Gem types'!$B$3:$B$55,'Gem types'!$C$3:$C$55))</f>
      </c>
      <c r="K15" s="205">
        <f>IF(OR(I15=0,I15=""),"",SUM(LOOKUP(LOOKUP(A15,'Jewelry calculations'!$A$3:$A$186,'Jewelry calculations'!$I$3:$I$186),'Gem types'!$B$3:$B$55,'Gem types'!$G$3:$G$55),PRODUCT(LOOKUP(LOOKUP(A15,'Jewelry calculations'!$A$3:$A$186,'Jewelry calculations'!$I$3:$I$186),'Gem types'!$B$3:$B$55,'Gem types'!$G$3:$G$55),LOOKUP(B15,'Gem types'!$I$3:$I$29,'Gem types'!$J$3:$J$29))))</f>
      </c>
      <c r="L15" s="205">
        <f t="shared" si="3"/>
      </c>
    </row>
    <row r="16" spans="1:12" s="204" customFormat="1" ht="30.75" customHeight="1">
      <c r="A16" s="203">
        <f ca="1" t="shared" si="0"/>
        <v>55</v>
      </c>
      <c r="B16" s="203">
        <f ca="1" t="shared" si="1"/>
        <v>5</v>
      </c>
      <c r="D16" s="208">
        <f t="shared" si="2"/>
      </c>
      <c r="E16" s="99">
        <f>IF(D16="","",LOOKUP(A16,'Jewelry calculations'!$A$3:$A$186,'Jewelry calculations'!$B$3:$B$186))</f>
      </c>
      <c r="F16" s="101">
        <f>IF(E16="","",LOOKUP(A16,'Jewelry calculations'!$A$3:$A$186,'Jewelry calculations'!$M$3:$M$186))</f>
      </c>
      <c r="G16" s="204">
        <f>IF(E16="","",LOOKUP(A16,'Jewelry calculations'!$A$3:$A$186,'Jewelry calculations'!$F$3:$F$186))</f>
      </c>
      <c r="H16" s="205">
        <f ca="1">IF(E16="","",RANDBETWEEN(LOOKUP(A16,'Jewelry calculations'!$A$3:$A$186,'Jewelry calculations'!$G$3:$G$186),LOOKUP(A16,'Jewelry calculations'!$A$3:$A$186,'Jewelry calculations'!$H$3:$H$186)))</f>
      </c>
      <c r="I16" s="203">
        <f ca="1">IF(E16="","",RANDBETWEEN(LOOKUP(A16,'Jewelry calculations'!$A$3:$A$186,'Jewelry calculations'!$D$3:$D$186),LOOKUP(A16,'Jewelry calculations'!$A$3:$A$186,'Jewelry calculations'!$E$3:$E$186)))</f>
      </c>
      <c r="J16" s="207">
        <f ca="1">IF(OR(I16=0,I16=""),"",LOOKUP(RANDBETWEEN(1,53),'Gem types'!$B$3:$B$55,'Gem types'!$C$3:$C$55))</f>
      </c>
      <c r="K16" s="205">
        <f>IF(OR(I16=0,I16=""),"",SUM(LOOKUP(LOOKUP(A16,'Jewelry calculations'!$A$3:$A$186,'Jewelry calculations'!$I$3:$I$186),'Gem types'!$B$3:$B$55,'Gem types'!$G$3:$G$55),PRODUCT(LOOKUP(LOOKUP(A16,'Jewelry calculations'!$A$3:$A$186,'Jewelry calculations'!$I$3:$I$186),'Gem types'!$B$3:$B$55,'Gem types'!$G$3:$G$55),LOOKUP(B16,'Gem types'!$I$3:$I$29,'Gem types'!$J$3:$J$29))))</f>
      </c>
      <c r="L16" s="205">
        <f t="shared" si="3"/>
      </c>
    </row>
    <row r="17" spans="1:12" s="204" customFormat="1" ht="30.75" customHeight="1">
      <c r="A17" s="203">
        <f ca="1" t="shared" si="0"/>
        <v>133</v>
      </c>
      <c r="B17" s="203">
        <f ca="1" t="shared" si="1"/>
        <v>4</v>
      </c>
      <c r="D17" s="208">
        <f t="shared" si="2"/>
      </c>
      <c r="E17" s="99">
        <f>IF(D17="","",LOOKUP(A17,'Jewelry calculations'!$A$3:$A$186,'Jewelry calculations'!$B$3:$B$186))</f>
      </c>
      <c r="F17" s="101">
        <f>IF(E17="","",LOOKUP(A17,'Jewelry calculations'!$A$3:$A$186,'Jewelry calculations'!$M$3:$M$186))</f>
      </c>
      <c r="G17" s="204">
        <f>IF(E17="","",LOOKUP(A17,'Jewelry calculations'!$A$3:$A$186,'Jewelry calculations'!$F$3:$F$186))</f>
      </c>
      <c r="H17" s="205">
        <f ca="1">IF(E17="","",RANDBETWEEN(LOOKUP(A17,'Jewelry calculations'!$A$3:$A$186,'Jewelry calculations'!$G$3:$G$186),LOOKUP(A17,'Jewelry calculations'!$A$3:$A$186,'Jewelry calculations'!$H$3:$H$186)))</f>
      </c>
      <c r="I17" s="203">
        <f ca="1">IF(E17="","",RANDBETWEEN(LOOKUP(A17,'Jewelry calculations'!$A$3:$A$186,'Jewelry calculations'!$D$3:$D$186),LOOKUP(A17,'Jewelry calculations'!$A$3:$A$186,'Jewelry calculations'!$E$3:$E$186)))</f>
      </c>
      <c r="J17" s="207">
        <f ca="1">IF(OR(I17=0,I17=""),"",LOOKUP(RANDBETWEEN(1,53),'Gem types'!$B$3:$B$55,'Gem types'!$C$3:$C$55))</f>
      </c>
      <c r="K17" s="205">
        <f>IF(OR(I17=0,I17=""),"",SUM(LOOKUP(LOOKUP(A17,'Jewelry calculations'!$A$3:$A$186,'Jewelry calculations'!$I$3:$I$186),'Gem types'!$B$3:$B$55,'Gem types'!$G$3:$G$55),PRODUCT(LOOKUP(LOOKUP(A17,'Jewelry calculations'!$A$3:$A$186,'Jewelry calculations'!$I$3:$I$186),'Gem types'!$B$3:$B$55,'Gem types'!$G$3:$G$55),LOOKUP(B17,'Gem types'!$I$3:$I$29,'Gem types'!$J$3:$J$29))))</f>
      </c>
      <c r="L17" s="205">
        <f t="shared" si="3"/>
      </c>
    </row>
    <row r="18" spans="1:12" s="204" customFormat="1" ht="30.75" customHeight="1">
      <c r="A18" s="203">
        <f ca="1" t="shared" si="0"/>
        <v>64</v>
      </c>
      <c r="B18" s="203">
        <f ca="1" t="shared" si="1"/>
        <v>1</v>
      </c>
      <c r="D18" s="208">
        <f t="shared" si="2"/>
      </c>
      <c r="E18" s="99">
        <f>IF(D18="","",LOOKUP(A18,'Jewelry calculations'!$A$3:$A$186,'Jewelry calculations'!$B$3:$B$186))</f>
      </c>
      <c r="F18" s="101">
        <f>IF(E18="","",LOOKUP(A18,'Jewelry calculations'!$A$3:$A$186,'Jewelry calculations'!$M$3:$M$186))</f>
      </c>
      <c r="G18" s="204">
        <f>IF(E18="","",LOOKUP(A18,'Jewelry calculations'!$A$3:$A$186,'Jewelry calculations'!$F$3:$F$186))</f>
      </c>
      <c r="H18" s="205">
        <f ca="1">IF(E18="","",RANDBETWEEN(LOOKUP(A18,'Jewelry calculations'!$A$3:$A$186,'Jewelry calculations'!$G$3:$G$186),LOOKUP(A18,'Jewelry calculations'!$A$3:$A$186,'Jewelry calculations'!$H$3:$H$186)))</f>
      </c>
      <c r="I18" s="203">
        <f ca="1">IF(E18="","",RANDBETWEEN(LOOKUP(A18,'Jewelry calculations'!$A$3:$A$186,'Jewelry calculations'!$D$3:$D$186),LOOKUP(A18,'Jewelry calculations'!$A$3:$A$186,'Jewelry calculations'!$E$3:$E$186)))</f>
      </c>
      <c r="J18" s="207">
        <f ca="1">IF(OR(I18=0,I18=""),"",LOOKUP(RANDBETWEEN(1,53),'Gem types'!$B$3:$B$55,'Gem types'!$C$3:$C$55))</f>
      </c>
      <c r="K18" s="205">
        <f>IF(OR(I18=0,I18=""),"",SUM(LOOKUP(LOOKUP(A18,'Jewelry calculations'!$A$3:$A$186,'Jewelry calculations'!$I$3:$I$186),'Gem types'!$B$3:$B$55,'Gem types'!$G$3:$G$55),PRODUCT(LOOKUP(LOOKUP(A18,'Jewelry calculations'!$A$3:$A$186,'Jewelry calculations'!$I$3:$I$186),'Gem types'!$B$3:$B$55,'Gem types'!$G$3:$G$55),LOOKUP(B18,'Gem types'!$I$3:$I$29,'Gem types'!$J$3:$J$29))))</f>
      </c>
      <c r="L18" s="205">
        <f t="shared" si="3"/>
      </c>
    </row>
    <row r="19" spans="1:12" s="204" customFormat="1" ht="30.75" customHeight="1">
      <c r="A19" s="203">
        <f ca="1" t="shared" si="0"/>
        <v>146</v>
      </c>
      <c r="B19" s="203">
        <f ca="1" t="shared" si="1"/>
        <v>8</v>
      </c>
      <c r="D19" s="208">
        <f t="shared" si="2"/>
      </c>
      <c r="E19" s="99">
        <f>IF(D19="","",LOOKUP(A19,'Jewelry calculations'!$A$3:$A$186,'Jewelry calculations'!$B$3:$B$186))</f>
      </c>
      <c r="F19" s="101">
        <f>IF(E19="","",LOOKUP(A19,'Jewelry calculations'!$A$3:$A$186,'Jewelry calculations'!$M$3:$M$186))</f>
      </c>
      <c r="G19" s="204">
        <f>IF(E19="","",LOOKUP(A19,'Jewelry calculations'!$A$3:$A$186,'Jewelry calculations'!$F$3:$F$186))</f>
      </c>
      <c r="H19" s="205">
        <f ca="1">IF(E19="","",RANDBETWEEN(LOOKUP(A19,'Jewelry calculations'!$A$3:$A$186,'Jewelry calculations'!$G$3:$G$186),LOOKUP(A19,'Jewelry calculations'!$A$3:$A$186,'Jewelry calculations'!$H$3:$H$186)))</f>
      </c>
      <c r="I19" s="203">
        <f ca="1">IF(E19="","",RANDBETWEEN(LOOKUP(A19,'Jewelry calculations'!$A$3:$A$186,'Jewelry calculations'!$D$3:$D$186),LOOKUP(A19,'Jewelry calculations'!$A$3:$A$186,'Jewelry calculations'!$E$3:$E$186)))</f>
      </c>
      <c r="J19" s="207">
        <f ca="1">IF(OR(I19=0,I19=""),"",LOOKUP(RANDBETWEEN(1,53),'Gem types'!$B$3:$B$55,'Gem types'!$C$3:$C$55))</f>
      </c>
      <c r="K19" s="205">
        <f>IF(OR(I19=0,I19=""),"",SUM(LOOKUP(LOOKUP(A19,'Jewelry calculations'!$A$3:$A$186,'Jewelry calculations'!$I$3:$I$186),'Gem types'!$B$3:$B$55,'Gem types'!$G$3:$G$55),PRODUCT(LOOKUP(LOOKUP(A19,'Jewelry calculations'!$A$3:$A$186,'Jewelry calculations'!$I$3:$I$186),'Gem types'!$B$3:$B$55,'Gem types'!$G$3:$G$55),LOOKUP(B19,'Gem types'!$I$3:$I$29,'Gem types'!$J$3:$J$29))))</f>
      </c>
      <c r="L19" s="205">
        <f t="shared" si="3"/>
      </c>
    </row>
    <row r="20" spans="1:12" s="204" customFormat="1" ht="30.75" customHeight="1">
      <c r="A20" s="203">
        <f ca="1" t="shared" si="0"/>
        <v>10</v>
      </c>
      <c r="B20" s="203">
        <f ca="1" t="shared" si="1"/>
        <v>10</v>
      </c>
      <c r="D20" s="208">
        <f t="shared" si="2"/>
      </c>
      <c r="E20" s="99">
        <f>IF(D20="","",LOOKUP(A20,'Jewelry calculations'!$A$3:$A$186,'Jewelry calculations'!$B$3:$B$186))</f>
      </c>
      <c r="F20" s="101">
        <f>IF(E20="","",LOOKUP(A20,'Jewelry calculations'!$A$3:$A$186,'Jewelry calculations'!$M$3:$M$186))</f>
      </c>
      <c r="G20" s="204">
        <f>IF(E20="","",LOOKUP(A20,'Jewelry calculations'!$A$3:$A$186,'Jewelry calculations'!$F$3:$F$186))</f>
      </c>
      <c r="H20" s="205">
        <f ca="1">IF(E20="","",RANDBETWEEN(LOOKUP(A20,'Jewelry calculations'!$A$3:$A$186,'Jewelry calculations'!$G$3:$G$186),LOOKUP(A20,'Jewelry calculations'!$A$3:$A$186,'Jewelry calculations'!$H$3:$H$186)))</f>
      </c>
      <c r="I20" s="203">
        <f ca="1">IF(E20="","",RANDBETWEEN(LOOKUP(A20,'Jewelry calculations'!$A$3:$A$186,'Jewelry calculations'!$D$3:$D$186),LOOKUP(A20,'Jewelry calculations'!$A$3:$A$186,'Jewelry calculations'!$E$3:$E$186)))</f>
      </c>
      <c r="J20" s="207">
        <f ca="1">IF(OR(I20=0,I20=""),"",LOOKUP(RANDBETWEEN(1,53),'Gem types'!$B$3:$B$55,'Gem types'!$C$3:$C$55))</f>
      </c>
      <c r="K20" s="205">
        <f>IF(OR(I20=0,I20=""),"",SUM(LOOKUP(LOOKUP(A20,'Jewelry calculations'!$A$3:$A$186,'Jewelry calculations'!$I$3:$I$186),'Gem types'!$B$3:$B$55,'Gem types'!$G$3:$G$55),PRODUCT(LOOKUP(LOOKUP(A20,'Jewelry calculations'!$A$3:$A$186,'Jewelry calculations'!$I$3:$I$186),'Gem types'!$B$3:$B$55,'Gem types'!$G$3:$G$55),LOOKUP(B20,'Gem types'!$I$3:$I$29,'Gem types'!$J$3:$J$29))))</f>
      </c>
      <c r="L20" s="205">
        <f t="shared" si="3"/>
      </c>
    </row>
    <row r="21" spans="1:12" s="204" customFormat="1" ht="30.75" customHeight="1">
      <c r="A21" s="203">
        <f ca="1" t="shared" si="0"/>
        <v>51</v>
      </c>
      <c r="B21" s="203">
        <f ca="1" t="shared" si="1"/>
        <v>18</v>
      </c>
      <c r="D21" s="208">
        <f t="shared" si="2"/>
      </c>
      <c r="E21" s="99">
        <f>IF(D21="","",LOOKUP(A21,'Jewelry calculations'!$A$3:$A$186,'Jewelry calculations'!$B$3:$B$186))</f>
      </c>
      <c r="F21" s="101">
        <f>IF(E21="","",LOOKUP(A21,'Jewelry calculations'!$A$3:$A$186,'Jewelry calculations'!$M$3:$M$186))</f>
      </c>
      <c r="G21" s="204">
        <f>IF(E21="","",LOOKUP(A21,'Jewelry calculations'!$A$3:$A$186,'Jewelry calculations'!$F$3:$F$186))</f>
      </c>
      <c r="H21" s="205">
        <f ca="1">IF(E21="","",RANDBETWEEN(LOOKUP(A21,'Jewelry calculations'!$A$3:$A$186,'Jewelry calculations'!$G$3:$G$186),LOOKUP(A21,'Jewelry calculations'!$A$3:$A$186,'Jewelry calculations'!$H$3:$H$186)))</f>
      </c>
      <c r="I21" s="203">
        <f ca="1">IF(E21="","",RANDBETWEEN(LOOKUP(A21,'Jewelry calculations'!$A$3:$A$186,'Jewelry calculations'!$D$3:$D$186),LOOKUP(A21,'Jewelry calculations'!$A$3:$A$186,'Jewelry calculations'!$E$3:$E$186)))</f>
      </c>
      <c r="J21" s="207">
        <f ca="1">IF(OR(I21=0,I21=""),"",LOOKUP(RANDBETWEEN(1,53),'Gem types'!$B$3:$B$55,'Gem types'!$C$3:$C$55))</f>
      </c>
      <c r="K21" s="205">
        <f>IF(OR(I21=0,I21=""),"",SUM(LOOKUP(LOOKUP(A21,'Jewelry calculations'!$A$3:$A$186,'Jewelry calculations'!$I$3:$I$186),'Gem types'!$B$3:$B$55,'Gem types'!$G$3:$G$55),PRODUCT(LOOKUP(LOOKUP(A21,'Jewelry calculations'!$A$3:$A$186,'Jewelry calculations'!$I$3:$I$186),'Gem types'!$B$3:$B$55,'Gem types'!$G$3:$G$55),LOOKUP(B21,'Gem types'!$I$3:$I$29,'Gem types'!$J$3:$J$29))))</f>
      </c>
      <c r="L21" s="205">
        <f t="shared" si="3"/>
      </c>
    </row>
    <row r="22" spans="1:12" s="204" customFormat="1" ht="30.75" customHeight="1">
      <c r="A22" s="203">
        <f ca="1" t="shared" si="0"/>
        <v>56</v>
      </c>
      <c r="B22" s="203">
        <f ca="1" t="shared" si="1"/>
        <v>19</v>
      </c>
      <c r="D22" s="208">
        <f t="shared" si="2"/>
      </c>
      <c r="E22" s="99">
        <f>IF(D22="","",LOOKUP(A22,'Jewelry calculations'!$A$3:$A$186,'Jewelry calculations'!$B$3:$B$186))</f>
      </c>
      <c r="F22" s="101">
        <f>IF(E22="","",LOOKUP(A22,'Jewelry calculations'!$A$3:$A$186,'Jewelry calculations'!$M$3:$M$186))</f>
      </c>
      <c r="G22" s="204">
        <f>IF(E22="","",LOOKUP(A22,'Jewelry calculations'!$A$3:$A$186,'Jewelry calculations'!$F$3:$F$186))</f>
      </c>
      <c r="H22" s="205">
        <f ca="1">IF(E22="","",RANDBETWEEN(LOOKUP(A22,'Jewelry calculations'!$A$3:$A$186,'Jewelry calculations'!$G$3:$G$186),LOOKUP(A22,'Jewelry calculations'!$A$3:$A$186,'Jewelry calculations'!$H$3:$H$186)))</f>
      </c>
      <c r="I22" s="203">
        <f ca="1">IF(E22="","",RANDBETWEEN(LOOKUP(A22,'Jewelry calculations'!$A$3:$A$186,'Jewelry calculations'!$D$3:$D$186),LOOKUP(A22,'Jewelry calculations'!$A$3:$A$186,'Jewelry calculations'!$E$3:$E$186)))</f>
      </c>
      <c r="J22" s="207">
        <f ca="1">IF(OR(I22=0,I22=""),"",LOOKUP(RANDBETWEEN(1,53),'Gem types'!$B$3:$B$55,'Gem types'!$C$3:$C$55))</f>
      </c>
      <c r="K22" s="205">
        <f>IF(OR(I22=0,I22=""),"",SUM(LOOKUP(LOOKUP(A22,'Jewelry calculations'!$A$3:$A$186,'Jewelry calculations'!$I$3:$I$186),'Gem types'!$B$3:$B$55,'Gem types'!$G$3:$G$55),PRODUCT(LOOKUP(LOOKUP(A22,'Jewelry calculations'!$A$3:$A$186,'Jewelry calculations'!$I$3:$I$186),'Gem types'!$B$3:$B$55,'Gem types'!$G$3:$G$55),LOOKUP(B22,'Gem types'!$I$3:$I$29,'Gem types'!$J$3:$J$29))))</f>
      </c>
      <c r="L22" s="205">
        <f t="shared" si="3"/>
      </c>
    </row>
    <row r="23" spans="1:12" s="204" customFormat="1" ht="30.75" customHeight="1">
      <c r="A23" s="203">
        <f ca="1" t="shared" si="0"/>
        <v>24</v>
      </c>
      <c r="B23" s="203">
        <f ca="1" t="shared" si="1"/>
        <v>1</v>
      </c>
      <c r="D23" s="208">
        <f t="shared" si="2"/>
      </c>
      <c r="E23" s="99">
        <f>IF(D23="","",LOOKUP(A23,'Jewelry calculations'!$A$3:$A$186,'Jewelry calculations'!$B$3:$B$186))</f>
      </c>
      <c r="F23" s="101">
        <f>IF(E23="","",LOOKUP(A23,'Jewelry calculations'!$A$3:$A$186,'Jewelry calculations'!$M$3:$M$186))</f>
      </c>
      <c r="G23" s="204">
        <f>IF(E23="","",LOOKUP(A23,'Jewelry calculations'!$A$3:$A$186,'Jewelry calculations'!$F$3:$F$186))</f>
      </c>
      <c r="H23" s="205">
        <f ca="1">IF(E23="","",RANDBETWEEN(LOOKUP(A23,'Jewelry calculations'!$A$3:$A$186,'Jewelry calculations'!$G$3:$G$186),LOOKUP(A23,'Jewelry calculations'!$A$3:$A$186,'Jewelry calculations'!$H$3:$H$186)))</f>
      </c>
      <c r="I23" s="203">
        <f ca="1">IF(E23="","",RANDBETWEEN(LOOKUP(A23,'Jewelry calculations'!$A$3:$A$186,'Jewelry calculations'!$D$3:$D$186),LOOKUP(A23,'Jewelry calculations'!$A$3:$A$186,'Jewelry calculations'!$E$3:$E$186)))</f>
      </c>
      <c r="J23" s="207">
        <f ca="1">IF(OR(I23=0,I23=""),"",LOOKUP(RANDBETWEEN(1,53),'Gem types'!$B$3:$B$55,'Gem types'!$C$3:$C$55))</f>
      </c>
      <c r="K23" s="205">
        <f>IF(OR(I23=0,I23=""),"",SUM(LOOKUP(LOOKUP(A23,'Jewelry calculations'!$A$3:$A$186,'Jewelry calculations'!$I$3:$I$186),'Gem types'!$B$3:$B$55,'Gem types'!$G$3:$G$55),PRODUCT(LOOKUP(LOOKUP(A23,'Jewelry calculations'!$A$3:$A$186,'Jewelry calculations'!$I$3:$I$186),'Gem types'!$B$3:$B$55,'Gem types'!$G$3:$G$55),LOOKUP(B23,'Gem types'!$I$3:$I$29,'Gem types'!$J$3:$J$29))))</f>
      </c>
      <c r="L23" s="205">
        <f t="shared" si="3"/>
      </c>
    </row>
    <row r="24" spans="1:12" s="204" customFormat="1" ht="30.75" customHeight="1">
      <c r="A24" s="203">
        <f ca="1" t="shared" si="0"/>
        <v>90</v>
      </c>
      <c r="B24" s="203">
        <f ca="1" t="shared" si="1"/>
        <v>13</v>
      </c>
      <c r="D24" s="208">
        <f t="shared" si="2"/>
      </c>
      <c r="E24" s="99">
        <f>IF(D24="","",LOOKUP(A24,'Jewelry calculations'!$A$3:$A$186,'Jewelry calculations'!$B$3:$B$186))</f>
      </c>
      <c r="F24" s="101">
        <f>IF(E24="","",LOOKUP(A24,'Jewelry calculations'!$A$3:$A$186,'Jewelry calculations'!$M$3:$M$186))</f>
      </c>
      <c r="G24" s="204">
        <f>IF(E24="","",LOOKUP(A24,'Jewelry calculations'!$A$3:$A$186,'Jewelry calculations'!$F$3:$F$186))</f>
      </c>
      <c r="H24" s="205">
        <f ca="1">IF(E24="","",RANDBETWEEN(LOOKUP(A24,'Jewelry calculations'!$A$3:$A$186,'Jewelry calculations'!$G$3:$G$186),LOOKUP(A24,'Jewelry calculations'!$A$3:$A$186,'Jewelry calculations'!$H$3:$H$186)))</f>
      </c>
      <c r="I24" s="203">
        <f ca="1">IF(E24="","",RANDBETWEEN(LOOKUP(A24,'Jewelry calculations'!$A$3:$A$186,'Jewelry calculations'!$D$3:$D$186),LOOKUP(A24,'Jewelry calculations'!$A$3:$A$186,'Jewelry calculations'!$E$3:$E$186)))</f>
      </c>
      <c r="J24" s="207">
        <f ca="1">IF(OR(I24=0,I24=""),"",LOOKUP(RANDBETWEEN(1,53),'Gem types'!$B$3:$B$55,'Gem types'!$C$3:$C$55))</f>
      </c>
      <c r="K24" s="205">
        <f>IF(OR(I24=0,I24=""),"",SUM(LOOKUP(LOOKUP(A24,'Jewelry calculations'!$A$3:$A$186,'Jewelry calculations'!$I$3:$I$186),'Gem types'!$B$3:$B$55,'Gem types'!$G$3:$G$55),PRODUCT(LOOKUP(LOOKUP(A24,'Jewelry calculations'!$A$3:$A$186,'Jewelry calculations'!$I$3:$I$186),'Gem types'!$B$3:$B$55,'Gem types'!$G$3:$G$55),LOOKUP(B24,'Gem types'!$I$3:$I$29,'Gem types'!$J$3:$J$29))))</f>
      </c>
      <c r="L24" s="205">
        <f t="shared" si="3"/>
      </c>
    </row>
    <row r="25" spans="1:12" s="204" customFormat="1" ht="30.75" customHeight="1">
      <c r="A25" s="203">
        <f ca="1" t="shared" si="0"/>
        <v>140</v>
      </c>
      <c r="B25" s="203">
        <f ca="1" t="shared" si="1"/>
        <v>22</v>
      </c>
      <c r="D25" s="208">
        <f t="shared" si="2"/>
      </c>
      <c r="E25" s="99">
        <f>IF(D25="","",LOOKUP(A25,'Jewelry calculations'!$A$3:$A$186,'Jewelry calculations'!$B$3:$B$186))</f>
      </c>
      <c r="F25" s="101">
        <f>IF(E25="","",LOOKUP(A25,'Jewelry calculations'!$A$3:$A$186,'Jewelry calculations'!$M$3:$M$186))</f>
      </c>
      <c r="G25" s="204">
        <f>IF(E25="","",LOOKUP(A25,'Jewelry calculations'!$A$3:$A$186,'Jewelry calculations'!$F$3:$F$186))</f>
      </c>
      <c r="H25" s="205">
        <f ca="1">IF(E25="","",RANDBETWEEN(LOOKUP(A25,'Jewelry calculations'!$A$3:$A$186,'Jewelry calculations'!$G$3:$G$186),LOOKUP(A25,'Jewelry calculations'!$A$3:$A$186,'Jewelry calculations'!$H$3:$H$186)))</f>
      </c>
      <c r="I25" s="203">
        <f ca="1">IF(E25="","",RANDBETWEEN(LOOKUP(A25,'Jewelry calculations'!$A$3:$A$186,'Jewelry calculations'!$D$3:$D$186),LOOKUP(A25,'Jewelry calculations'!$A$3:$A$186,'Jewelry calculations'!$E$3:$E$186)))</f>
      </c>
      <c r="J25" s="207">
        <f ca="1">IF(OR(I25=0,I25=""),"",LOOKUP(RANDBETWEEN(1,53),'Gem types'!$B$3:$B$55,'Gem types'!$C$3:$C$55))</f>
      </c>
      <c r="K25" s="205">
        <f>IF(OR(I25=0,I25=""),"",SUM(LOOKUP(LOOKUP(A25,'Jewelry calculations'!$A$3:$A$186,'Jewelry calculations'!$I$3:$I$186),'Gem types'!$B$3:$B$55,'Gem types'!$G$3:$G$55),PRODUCT(LOOKUP(LOOKUP(A25,'Jewelry calculations'!$A$3:$A$186,'Jewelry calculations'!$I$3:$I$186),'Gem types'!$B$3:$B$55,'Gem types'!$G$3:$G$55),LOOKUP(B25,'Gem types'!$I$3:$I$29,'Gem types'!$J$3:$J$29))))</f>
      </c>
      <c r="L25" s="205">
        <f t="shared" si="3"/>
      </c>
    </row>
    <row r="26" spans="1:12" s="204" customFormat="1" ht="30.75" customHeight="1">
      <c r="A26" s="203">
        <f ca="1" t="shared" si="0"/>
        <v>60</v>
      </c>
      <c r="B26" s="203">
        <f ca="1" t="shared" si="1"/>
        <v>8</v>
      </c>
      <c r="D26" s="208">
        <f t="shared" si="2"/>
      </c>
      <c r="E26" s="99">
        <f>IF(D26="","",LOOKUP(A26,'Jewelry calculations'!$A$3:$A$186,'Jewelry calculations'!$B$3:$B$186))</f>
      </c>
      <c r="F26" s="101">
        <f>IF(E26="","",LOOKUP(A26,'Jewelry calculations'!$A$3:$A$186,'Jewelry calculations'!$M$3:$M$186))</f>
      </c>
      <c r="G26" s="204">
        <f>IF(E26="","",LOOKUP(A26,'Jewelry calculations'!$A$3:$A$186,'Jewelry calculations'!$F$3:$F$186))</f>
      </c>
      <c r="H26" s="205">
        <f ca="1">IF(E26="","",RANDBETWEEN(LOOKUP(A26,'Jewelry calculations'!$A$3:$A$186,'Jewelry calculations'!$G$3:$G$186),LOOKUP(A26,'Jewelry calculations'!$A$3:$A$186,'Jewelry calculations'!$H$3:$H$186)))</f>
      </c>
      <c r="I26" s="203">
        <f ca="1">IF(E26="","",RANDBETWEEN(LOOKUP(A26,'Jewelry calculations'!$A$3:$A$186,'Jewelry calculations'!$D$3:$D$186),LOOKUP(A26,'Jewelry calculations'!$A$3:$A$186,'Jewelry calculations'!$E$3:$E$186)))</f>
      </c>
      <c r="J26" s="207">
        <f ca="1">IF(OR(I26=0,I26=""),"",LOOKUP(RANDBETWEEN(1,53),'Gem types'!$B$3:$B$55,'Gem types'!$C$3:$C$55))</f>
      </c>
      <c r="K26" s="205">
        <f>IF(OR(I26=0,I26=""),"",SUM(LOOKUP(LOOKUP(A26,'Jewelry calculations'!$A$3:$A$186,'Jewelry calculations'!$I$3:$I$186),'Gem types'!$B$3:$B$55,'Gem types'!$G$3:$G$55),PRODUCT(LOOKUP(LOOKUP(A26,'Jewelry calculations'!$A$3:$A$186,'Jewelry calculations'!$I$3:$I$186),'Gem types'!$B$3:$B$55,'Gem types'!$G$3:$G$55),LOOKUP(B26,'Gem types'!$I$3:$I$29,'Gem types'!$J$3:$J$29))))</f>
      </c>
      <c r="L26" s="205">
        <f t="shared" si="3"/>
      </c>
    </row>
    <row r="27" spans="1:12" s="204" customFormat="1" ht="30.75" customHeight="1">
      <c r="A27" s="203">
        <f ca="1" t="shared" si="0"/>
        <v>129</v>
      </c>
      <c r="B27" s="203">
        <f ca="1" t="shared" si="1"/>
        <v>20</v>
      </c>
      <c r="D27" s="208">
        <f t="shared" si="2"/>
      </c>
      <c r="E27" s="99">
        <f>IF(D27="","",LOOKUP(A27,'Jewelry calculations'!$A$3:$A$186,'Jewelry calculations'!$B$3:$B$186))</f>
      </c>
      <c r="F27" s="101">
        <f>IF(E27="","",LOOKUP(A27,'Jewelry calculations'!$A$3:$A$186,'Jewelry calculations'!$M$3:$M$186))</f>
      </c>
      <c r="G27" s="204">
        <f>IF(E27="","",LOOKUP(A27,'Jewelry calculations'!$A$3:$A$186,'Jewelry calculations'!$F$3:$F$186))</f>
      </c>
      <c r="H27" s="205">
        <f ca="1">IF(E27="","",RANDBETWEEN(LOOKUP(A27,'Jewelry calculations'!$A$3:$A$186,'Jewelry calculations'!$G$3:$G$186),LOOKUP(A27,'Jewelry calculations'!$A$3:$A$186,'Jewelry calculations'!$H$3:$H$186)))</f>
      </c>
      <c r="I27" s="203">
        <f ca="1">IF(E27="","",RANDBETWEEN(LOOKUP(A27,'Jewelry calculations'!$A$3:$A$186,'Jewelry calculations'!$D$3:$D$186),LOOKUP(A27,'Jewelry calculations'!$A$3:$A$186,'Jewelry calculations'!$E$3:$E$186)))</f>
      </c>
      <c r="J27" s="207">
        <f ca="1">IF(OR(I27=0,I27=""),"",LOOKUP(RANDBETWEEN(1,53),'Gem types'!$B$3:$B$55,'Gem types'!$C$3:$C$55))</f>
      </c>
      <c r="K27" s="205">
        <f>IF(OR(I27=0,I27=""),"",SUM(LOOKUP(LOOKUP(A27,'Jewelry calculations'!$A$3:$A$186,'Jewelry calculations'!$I$3:$I$186),'Gem types'!$B$3:$B$55,'Gem types'!$G$3:$G$55),PRODUCT(LOOKUP(LOOKUP(A27,'Jewelry calculations'!$A$3:$A$186,'Jewelry calculations'!$I$3:$I$186),'Gem types'!$B$3:$B$55,'Gem types'!$G$3:$G$55),LOOKUP(B27,'Gem types'!$I$3:$I$29,'Gem types'!$J$3:$J$29))))</f>
      </c>
      <c r="L27" s="205">
        <f t="shared" si="3"/>
      </c>
    </row>
    <row r="28" spans="1:12" s="204" customFormat="1" ht="30.75" customHeight="1">
      <c r="A28" s="203">
        <f ca="1" t="shared" si="0"/>
        <v>135</v>
      </c>
      <c r="B28" s="203">
        <f ca="1" t="shared" si="1"/>
        <v>26</v>
      </c>
      <c r="D28" s="208">
        <f t="shared" si="2"/>
      </c>
      <c r="E28" s="99">
        <f>IF(D28="","",LOOKUP(A28,'Jewelry calculations'!$A$3:$A$186,'Jewelry calculations'!$B$3:$B$186))</f>
      </c>
      <c r="F28" s="101">
        <f>IF(E28="","",LOOKUP(A28,'Jewelry calculations'!$A$3:$A$186,'Jewelry calculations'!$M$3:$M$186))</f>
      </c>
      <c r="G28" s="204">
        <f>IF(E28="","",LOOKUP(A28,'Jewelry calculations'!$A$3:$A$186,'Jewelry calculations'!$F$3:$F$186))</f>
      </c>
      <c r="H28" s="205">
        <f ca="1">IF(E28="","",RANDBETWEEN(LOOKUP(A28,'Jewelry calculations'!$A$3:$A$186,'Jewelry calculations'!$G$3:$G$186),LOOKUP(A28,'Jewelry calculations'!$A$3:$A$186,'Jewelry calculations'!$H$3:$H$186)))</f>
      </c>
      <c r="I28" s="203">
        <f ca="1">IF(E28="","",RANDBETWEEN(LOOKUP(A28,'Jewelry calculations'!$A$3:$A$186,'Jewelry calculations'!$D$3:$D$186),LOOKUP(A28,'Jewelry calculations'!$A$3:$A$186,'Jewelry calculations'!$E$3:$E$186)))</f>
      </c>
      <c r="J28" s="207">
        <f ca="1">IF(OR(I28=0,I28=""),"",LOOKUP(RANDBETWEEN(1,53),'Gem types'!$B$3:$B$55,'Gem types'!$C$3:$C$55))</f>
      </c>
      <c r="K28" s="205">
        <f>IF(OR(I28=0,I28=""),"",SUM(LOOKUP(LOOKUP(A28,'Jewelry calculations'!$A$3:$A$186,'Jewelry calculations'!$I$3:$I$186),'Gem types'!$B$3:$B$55,'Gem types'!$G$3:$G$55),PRODUCT(LOOKUP(LOOKUP(A28,'Jewelry calculations'!$A$3:$A$186,'Jewelry calculations'!$I$3:$I$186),'Gem types'!$B$3:$B$55,'Gem types'!$G$3:$G$55),LOOKUP(B28,'Gem types'!$I$3:$I$29,'Gem types'!$J$3:$J$29))))</f>
      </c>
      <c r="L28" s="205">
        <f t="shared" si="3"/>
      </c>
    </row>
    <row r="29" spans="1:12" s="204" customFormat="1" ht="30.75" customHeight="1">
      <c r="A29" s="203">
        <f ca="1" t="shared" si="0"/>
        <v>73</v>
      </c>
      <c r="B29" s="203">
        <f ca="1" t="shared" si="1"/>
        <v>12</v>
      </c>
      <c r="D29" s="208">
        <f t="shared" si="2"/>
      </c>
      <c r="E29" s="99">
        <f>IF(D29="","",LOOKUP(A29,'Jewelry calculations'!$A$3:$A$186,'Jewelry calculations'!$B$3:$B$186))</f>
      </c>
      <c r="F29" s="101">
        <f>IF(E29="","",LOOKUP(A29,'Jewelry calculations'!$A$3:$A$186,'Jewelry calculations'!$M$3:$M$186))</f>
      </c>
      <c r="G29" s="204">
        <f>IF(E29="","",LOOKUP(A29,'Jewelry calculations'!$A$3:$A$186,'Jewelry calculations'!$F$3:$F$186))</f>
      </c>
      <c r="H29" s="205">
        <f ca="1">IF(E29="","",RANDBETWEEN(LOOKUP(A29,'Jewelry calculations'!$A$3:$A$186,'Jewelry calculations'!$G$3:$G$186),LOOKUP(A29,'Jewelry calculations'!$A$3:$A$186,'Jewelry calculations'!$H$3:$H$186)))</f>
      </c>
      <c r="I29" s="203">
        <f ca="1">IF(E29="","",RANDBETWEEN(LOOKUP(A29,'Jewelry calculations'!$A$3:$A$186,'Jewelry calculations'!$D$3:$D$186),LOOKUP(A29,'Jewelry calculations'!$A$3:$A$186,'Jewelry calculations'!$E$3:$E$186)))</f>
      </c>
      <c r="J29" s="207">
        <f ca="1">IF(OR(I29=0,I29=""),"",LOOKUP(RANDBETWEEN(1,53),'Gem types'!$B$3:$B$55,'Gem types'!$C$3:$C$55))</f>
      </c>
      <c r="K29" s="205">
        <f>IF(OR(I29=0,I29=""),"",SUM(LOOKUP(LOOKUP(A29,'Jewelry calculations'!$A$3:$A$186,'Jewelry calculations'!$I$3:$I$186),'Gem types'!$B$3:$B$55,'Gem types'!$G$3:$G$55),PRODUCT(LOOKUP(LOOKUP(A29,'Jewelry calculations'!$A$3:$A$186,'Jewelry calculations'!$I$3:$I$186),'Gem types'!$B$3:$B$55,'Gem types'!$G$3:$G$55),LOOKUP(B29,'Gem types'!$I$3:$I$29,'Gem types'!$J$3:$J$29))))</f>
      </c>
      <c r="L29" s="205">
        <f t="shared" si="3"/>
      </c>
    </row>
    <row r="30" spans="1:12" s="204" customFormat="1" ht="30.75" customHeight="1">
      <c r="A30" s="203">
        <f ca="1" t="shared" si="0"/>
        <v>127</v>
      </c>
      <c r="B30" s="203">
        <f ca="1" t="shared" si="1"/>
        <v>4</v>
      </c>
      <c r="D30" s="208">
        <f t="shared" si="2"/>
      </c>
      <c r="E30" s="99">
        <f>IF(D30="","",LOOKUP(A30,'Jewelry calculations'!$A$3:$A$186,'Jewelry calculations'!$B$3:$B$186))</f>
      </c>
      <c r="F30" s="101">
        <f>IF(E30="","",LOOKUP(A30,'Jewelry calculations'!$A$3:$A$186,'Jewelry calculations'!$M$3:$M$186))</f>
      </c>
      <c r="G30" s="204">
        <f>IF(E30="","",LOOKUP(A30,'Jewelry calculations'!$A$3:$A$186,'Jewelry calculations'!$F$3:$F$186))</f>
      </c>
      <c r="H30" s="205">
        <f ca="1">IF(E30="","",RANDBETWEEN(LOOKUP(A30,'Jewelry calculations'!$A$3:$A$186,'Jewelry calculations'!$G$3:$G$186),LOOKUP(A30,'Jewelry calculations'!$A$3:$A$186,'Jewelry calculations'!$H$3:$H$186)))</f>
      </c>
      <c r="I30" s="203">
        <f ca="1">IF(E30="","",RANDBETWEEN(LOOKUP(A30,'Jewelry calculations'!$A$3:$A$186,'Jewelry calculations'!$D$3:$D$186),LOOKUP(A30,'Jewelry calculations'!$A$3:$A$186,'Jewelry calculations'!$E$3:$E$186)))</f>
      </c>
      <c r="J30" s="207">
        <f ca="1">IF(OR(I30=0,I30=""),"",LOOKUP(RANDBETWEEN(1,53),'Gem types'!$B$3:$B$55,'Gem types'!$C$3:$C$55))</f>
      </c>
      <c r="K30" s="205">
        <f>IF(OR(I30=0,I30=""),"",SUM(LOOKUP(LOOKUP(A30,'Jewelry calculations'!$A$3:$A$186,'Jewelry calculations'!$I$3:$I$186),'Gem types'!$B$3:$B$55,'Gem types'!$G$3:$G$55),PRODUCT(LOOKUP(LOOKUP(A30,'Jewelry calculations'!$A$3:$A$186,'Jewelry calculations'!$I$3:$I$186),'Gem types'!$B$3:$B$55,'Gem types'!$G$3:$G$55),LOOKUP(B30,'Gem types'!$I$3:$I$29,'Gem types'!$J$3:$J$29))))</f>
      </c>
      <c r="L30" s="205">
        <f t="shared" si="3"/>
      </c>
    </row>
    <row r="31" spans="1:12" s="204" customFormat="1" ht="30.75" customHeight="1">
      <c r="A31" s="203">
        <f ca="1" t="shared" si="0"/>
        <v>24</v>
      </c>
      <c r="B31" s="203">
        <f ca="1" t="shared" si="1"/>
        <v>4</v>
      </c>
      <c r="D31" s="208">
        <f t="shared" si="2"/>
      </c>
      <c r="E31" s="99">
        <f>IF(D31="","",LOOKUP(A31,'Jewelry calculations'!$A$3:$A$186,'Jewelry calculations'!$B$3:$B$186))</f>
      </c>
      <c r="F31" s="101">
        <f>IF(E31="","",LOOKUP(A31,'Jewelry calculations'!$A$3:$A$186,'Jewelry calculations'!$M$3:$M$186))</f>
      </c>
      <c r="G31" s="204">
        <f>IF(E31="","",LOOKUP(A31,'Jewelry calculations'!$A$3:$A$186,'Jewelry calculations'!$F$3:$F$186))</f>
      </c>
      <c r="H31" s="205">
        <f ca="1">IF(E31="","",RANDBETWEEN(LOOKUP(A31,'Jewelry calculations'!$A$3:$A$186,'Jewelry calculations'!$G$3:$G$186),LOOKUP(A31,'Jewelry calculations'!$A$3:$A$186,'Jewelry calculations'!$H$3:$H$186)))</f>
      </c>
      <c r="I31" s="203">
        <f ca="1">IF(E31="","",RANDBETWEEN(LOOKUP(A31,'Jewelry calculations'!$A$3:$A$186,'Jewelry calculations'!$D$3:$D$186),LOOKUP(A31,'Jewelry calculations'!$A$3:$A$186,'Jewelry calculations'!$E$3:$E$186)))</f>
      </c>
      <c r="J31" s="207">
        <f ca="1">IF(OR(I31=0,I31=""),"",LOOKUP(RANDBETWEEN(1,53),'Gem types'!$B$3:$B$55,'Gem types'!$C$3:$C$55))</f>
      </c>
      <c r="K31" s="205">
        <f>IF(OR(I31=0,I31=""),"",SUM(LOOKUP(LOOKUP(A31,'Jewelry calculations'!$A$3:$A$186,'Jewelry calculations'!$I$3:$I$186),'Gem types'!$B$3:$B$55,'Gem types'!$G$3:$G$55),PRODUCT(LOOKUP(LOOKUP(A31,'Jewelry calculations'!$A$3:$A$186,'Jewelry calculations'!$I$3:$I$186),'Gem types'!$B$3:$B$55,'Gem types'!$G$3:$G$55),LOOKUP(B31,'Gem types'!$I$3:$I$29,'Gem types'!$J$3:$J$29))))</f>
      </c>
      <c r="L31" s="205">
        <f t="shared" si="3"/>
      </c>
    </row>
    <row r="32" spans="1:12" s="204" customFormat="1" ht="30.75" customHeight="1">
      <c r="A32" s="203">
        <f ca="1" t="shared" si="0"/>
        <v>62</v>
      </c>
      <c r="B32" s="203">
        <f ca="1" t="shared" si="1"/>
        <v>8</v>
      </c>
      <c r="D32" s="208">
        <f t="shared" si="2"/>
      </c>
      <c r="E32" s="99">
        <f>IF(D32="","",LOOKUP(A32,'Jewelry calculations'!$A$3:$A$186,'Jewelry calculations'!$B$3:$B$186))</f>
      </c>
      <c r="F32" s="101">
        <f>IF(E32="","",LOOKUP(A32,'Jewelry calculations'!$A$3:$A$186,'Jewelry calculations'!$M$3:$M$186))</f>
      </c>
      <c r="G32" s="204">
        <f>IF(E32="","",LOOKUP(A32,'Jewelry calculations'!$A$3:$A$186,'Jewelry calculations'!$F$3:$F$186))</f>
      </c>
      <c r="H32" s="205">
        <f ca="1">IF(E32="","",RANDBETWEEN(LOOKUP(A32,'Jewelry calculations'!$A$3:$A$186,'Jewelry calculations'!$G$3:$G$186),LOOKUP(A32,'Jewelry calculations'!$A$3:$A$186,'Jewelry calculations'!$H$3:$H$186)))</f>
      </c>
      <c r="I32" s="203">
        <f ca="1">IF(E32="","",RANDBETWEEN(LOOKUP(A32,'Jewelry calculations'!$A$3:$A$186,'Jewelry calculations'!$D$3:$D$186),LOOKUP(A32,'Jewelry calculations'!$A$3:$A$186,'Jewelry calculations'!$E$3:$E$186)))</f>
      </c>
      <c r="J32" s="207">
        <f ca="1">IF(OR(I32=0,I32=""),"",LOOKUP(RANDBETWEEN(1,53),'Gem types'!$B$3:$B$55,'Gem types'!$C$3:$C$55))</f>
      </c>
      <c r="K32" s="205">
        <f>IF(OR(I32=0,I32=""),"",SUM(LOOKUP(LOOKUP(A32,'Jewelry calculations'!$A$3:$A$186,'Jewelry calculations'!$I$3:$I$186),'Gem types'!$B$3:$B$55,'Gem types'!$G$3:$G$55),PRODUCT(LOOKUP(LOOKUP(A32,'Jewelry calculations'!$A$3:$A$186,'Jewelry calculations'!$I$3:$I$186),'Gem types'!$B$3:$B$55,'Gem types'!$G$3:$G$55),LOOKUP(B32,'Gem types'!$I$3:$I$29,'Gem types'!$J$3:$J$29))))</f>
      </c>
      <c r="L32" s="205">
        <f t="shared" si="3"/>
      </c>
    </row>
    <row r="33" spans="1:12" s="204" customFormat="1" ht="30.75" customHeight="1">
      <c r="A33" s="203">
        <f ca="1" t="shared" si="0"/>
        <v>9</v>
      </c>
      <c r="B33" s="203">
        <f ca="1" t="shared" si="1"/>
        <v>18</v>
      </c>
      <c r="D33" s="208">
        <f t="shared" si="2"/>
      </c>
      <c r="E33" s="99">
        <f>IF(D33="","",LOOKUP(A33,'Jewelry calculations'!$A$3:$A$186,'Jewelry calculations'!$B$3:$B$186))</f>
      </c>
      <c r="F33" s="101">
        <f>IF(E33="","",LOOKUP(A33,'Jewelry calculations'!$A$3:$A$186,'Jewelry calculations'!$M$3:$M$186))</f>
      </c>
      <c r="G33" s="204">
        <f>IF(E33="","",LOOKUP(A33,'Jewelry calculations'!$A$3:$A$186,'Jewelry calculations'!$F$3:$F$186))</f>
      </c>
      <c r="H33" s="205">
        <f ca="1">IF(E33="","",RANDBETWEEN(LOOKUP(A33,'Jewelry calculations'!$A$3:$A$186,'Jewelry calculations'!$G$3:$G$186),LOOKUP(A33,'Jewelry calculations'!$A$3:$A$186,'Jewelry calculations'!$H$3:$H$186)))</f>
      </c>
      <c r="I33" s="203">
        <f ca="1">IF(E33="","",RANDBETWEEN(LOOKUP(A33,'Jewelry calculations'!$A$3:$A$186,'Jewelry calculations'!$D$3:$D$186),LOOKUP(A33,'Jewelry calculations'!$A$3:$A$186,'Jewelry calculations'!$E$3:$E$186)))</f>
      </c>
      <c r="J33" s="207">
        <f ca="1">IF(OR(I33=0,I33=""),"",LOOKUP(RANDBETWEEN(1,53),'Gem types'!$B$3:$B$55,'Gem types'!$C$3:$C$55))</f>
      </c>
      <c r="K33" s="205">
        <f>IF(OR(I33=0,I33=""),"",SUM(LOOKUP(LOOKUP(A33,'Jewelry calculations'!$A$3:$A$186,'Jewelry calculations'!$I$3:$I$186),'Gem types'!$B$3:$B$55,'Gem types'!$G$3:$G$55),PRODUCT(LOOKUP(LOOKUP(A33,'Jewelry calculations'!$A$3:$A$186,'Jewelry calculations'!$I$3:$I$186),'Gem types'!$B$3:$B$55,'Gem types'!$G$3:$G$55),LOOKUP(B33,'Gem types'!$I$3:$I$29,'Gem types'!$J$3:$J$29))))</f>
      </c>
      <c r="L33" s="205">
        <f t="shared" si="3"/>
      </c>
    </row>
    <row r="34" spans="1:12" s="204" customFormat="1" ht="30.75" customHeight="1">
      <c r="A34" s="203">
        <f ca="1" t="shared" si="0"/>
        <v>104</v>
      </c>
      <c r="B34" s="203">
        <f ca="1" t="shared" si="1"/>
        <v>22</v>
      </c>
      <c r="D34" s="208">
        <f t="shared" si="2"/>
      </c>
      <c r="E34" s="99">
        <f>IF(D34="","",LOOKUP(A34,'Jewelry calculations'!$A$3:$A$186,'Jewelry calculations'!$B$3:$B$186))</f>
      </c>
      <c r="F34" s="101">
        <f>IF(E34="","",LOOKUP(A34,'Jewelry calculations'!$A$3:$A$186,'Jewelry calculations'!$M$3:$M$186))</f>
      </c>
      <c r="G34" s="204">
        <f>IF(E34="","",LOOKUP(A34,'Jewelry calculations'!$A$3:$A$186,'Jewelry calculations'!$F$3:$F$186))</f>
      </c>
      <c r="H34" s="205">
        <f ca="1">IF(E34="","",RANDBETWEEN(LOOKUP(A34,'Jewelry calculations'!$A$3:$A$186,'Jewelry calculations'!$G$3:$G$186),LOOKUP(A34,'Jewelry calculations'!$A$3:$A$186,'Jewelry calculations'!$H$3:$H$186)))</f>
      </c>
      <c r="I34" s="203">
        <f ca="1">IF(E34="","",RANDBETWEEN(LOOKUP(A34,'Jewelry calculations'!$A$3:$A$186,'Jewelry calculations'!$D$3:$D$186),LOOKUP(A34,'Jewelry calculations'!$A$3:$A$186,'Jewelry calculations'!$E$3:$E$186)))</f>
      </c>
      <c r="J34" s="207">
        <f ca="1">IF(OR(I34=0,I34=""),"",LOOKUP(RANDBETWEEN(1,53),'Gem types'!$B$3:$B$55,'Gem types'!$C$3:$C$55))</f>
      </c>
      <c r="K34" s="205">
        <f>IF(OR(I34=0,I34=""),"",SUM(LOOKUP(LOOKUP(A34,'Jewelry calculations'!$A$3:$A$186,'Jewelry calculations'!$I$3:$I$186),'Gem types'!$B$3:$B$55,'Gem types'!$G$3:$G$55),PRODUCT(LOOKUP(LOOKUP(A34,'Jewelry calculations'!$A$3:$A$186,'Jewelry calculations'!$I$3:$I$186),'Gem types'!$B$3:$B$55,'Gem types'!$G$3:$G$55),LOOKUP(B34,'Gem types'!$I$3:$I$29,'Gem types'!$J$3:$J$29))))</f>
      </c>
      <c r="L34" s="205">
        <f t="shared" si="3"/>
      </c>
    </row>
    <row r="35" spans="1:12" s="204" customFormat="1" ht="30.75" customHeight="1">
      <c r="A35" s="203">
        <f ca="1" t="shared" si="0"/>
        <v>62</v>
      </c>
      <c r="B35" s="203">
        <f ca="1" t="shared" si="1"/>
        <v>26</v>
      </c>
      <c r="D35" s="208">
        <f t="shared" si="2"/>
      </c>
      <c r="E35" s="99">
        <f>IF(D35="","",LOOKUP(A35,'Jewelry calculations'!$A$3:$A$186,'Jewelry calculations'!$B$3:$B$186))</f>
      </c>
      <c r="F35" s="101">
        <f>IF(E35="","",LOOKUP(A35,'Jewelry calculations'!$A$3:$A$186,'Jewelry calculations'!$M$3:$M$186))</f>
      </c>
      <c r="G35" s="204">
        <f>IF(E35="","",LOOKUP(A35,'Jewelry calculations'!$A$3:$A$186,'Jewelry calculations'!$F$3:$F$186))</f>
      </c>
      <c r="H35" s="205">
        <f ca="1">IF(E35="","",RANDBETWEEN(LOOKUP(A35,'Jewelry calculations'!$A$3:$A$186,'Jewelry calculations'!$G$3:$G$186),LOOKUP(A35,'Jewelry calculations'!$A$3:$A$186,'Jewelry calculations'!$H$3:$H$186)))</f>
      </c>
      <c r="I35" s="203">
        <f ca="1">IF(E35="","",RANDBETWEEN(LOOKUP(A35,'Jewelry calculations'!$A$3:$A$186,'Jewelry calculations'!$D$3:$D$186),LOOKUP(A35,'Jewelry calculations'!$A$3:$A$186,'Jewelry calculations'!$E$3:$E$186)))</f>
      </c>
      <c r="J35" s="207">
        <f ca="1">IF(OR(I35=0,I35=""),"",LOOKUP(RANDBETWEEN(1,53),'Gem types'!$B$3:$B$55,'Gem types'!$C$3:$C$55))</f>
      </c>
      <c r="K35" s="205">
        <f>IF(OR(I35=0,I35=""),"",SUM(LOOKUP(LOOKUP(A35,'Jewelry calculations'!$A$3:$A$186,'Jewelry calculations'!$I$3:$I$186),'Gem types'!$B$3:$B$55,'Gem types'!$G$3:$G$55),PRODUCT(LOOKUP(LOOKUP(A35,'Jewelry calculations'!$A$3:$A$186,'Jewelry calculations'!$I$3:$I$186),'Gem types'!$B$3:$B$55,'Gem types'!$G$3:$G$55),LOOKUP(B35,'Gem types'!$I$3:$I$29,'Gem types'!$J$3:$J$29))))</f>
      </c>
      <c r="L35" s="205">
        <f t="shared" si="3"/>
      </c>
    </row>
    <row r="36" spans="1:12" s="204" customFormat="1" ht="30.75" customHeight="1">
      <c r="A36" s="203">
        <f aca="true" ca="1" t="shared" si="4" ref="A36:A67">RANDBETWEEN(1,184)</f>
        <v>139</v>
      </c>
      <c r="B36" s="203">
        <f aca="true" ca="1" t="shared" si="5" ref="B36:B67">RANDBETWEEN(1,27)</f>
        <v>12</v>
      </c>
      <c r="D36" s="208">
        <f t="shared" si="2"/>
      </c>
      <c r="E36" s="99">
        <f>IF(D36="","",LOOKUP(A36,'Jewelry calculations'!$A$3:$A$186,'Jewelry calculations'!$B$3:$B$186))</f>
      </c>
      <c r="F36" s="101">
        <f>IF(E36="","",LOOKUP(A36,'Jewelry calculations'!$A$3:$A$186,'Jewelry calculations'!$M$3:$M$186))</f>
      </c>
      <c r="G36" s="204">
        <f>IF(E36="","",LOOKUP(A36,'Jewelry calculations'!$A$3:$A$186,'Jewelry calculations'!$F$3:$F$186))</f>
      </c>
      <c r="H36" s="205">
        <f ca="1">IF(E36="","",RANDBETWEEN(LOOKUP(A36,'Jewelry calculations'!$A$3:$A$186,'Jewelry calculations'!$G$3:$G$186),LOOKUP(A36,'Jewelry calculations'!$A$3:$A$186,'Jewelry calculations'!$H$3:$H$186)))</f>
      </c>
      <c r="I36" s="203">
        <f ca="1">IF(E36="","",RANDBETWEEN(LOOKUP(A36,'Jewelry calculations'!$A$3:$A$186,'Jewelry calculations'!$D$3:$D$186),LOOKUP(A36,'Jewelry calculations'!$A$3:$A$186,'Jewelry calculations'!$E$3:$E$186)))</f>
      </c>
      <c r="J36" s="207">
        <f ca="1">IF(OR(I36=0,I36=""),"",LOOKUP(RANDBETWEEN(1,53),'Gem types'!$B$3:$B$55,'Gem types'!$C$3:$C$55))</f>
      </c>
      <c r="K36" s="205">
        <f>IF(OR(I36=0,I36=""),"",SUM(LOOKUP(LOOKUP(A36,'Jewelry calculations'!$A$3:$A$186,'Jewelry calculations'!$I$3:$I$186),'Gem types'!$B$3:$B$55,'Gem types'!$G$3:$G$55),PRODUCT(LOOKUP(LOOKUP(A36,'Jewelry calculations'!$A$3:$A$186,'Jewelry calculations'!$I$3:$I$186),'Gem types'!$B$3:$B$55,'Gem types'!$G$3:$G$55),LOOKUP(B36,'Gem types'!$I$3:$I$29,'Gem types'!$J$3:$J$29))))</f>
      </c>
      <c r="L36" s="205">
        <f t="shared" si="3"/>
      </c>
    </row>
    <row r="37" spans="1:12" s="204" customFormat="1" ht="30.75" customHeight="1">
      <c r="A37" s="203">
        <f ca="1" t="shared" si="4"/>
        <v>43</v>
      </c>
      <c r="B37" s="203">
        <f ca="1" t="shared" si="5"/>
        <v>6</v>
      </c>
      <c r="D37" s="208">
        <f aca="true" t="shared" si="6" ref="D37:D68">IF($G$1&gt;D36,SUM(D36+1),"")</f>
      </c>
      <c r="E37" s="99">
        <f>IF(D37="","",LOOKUP(A37,'Jewelry calculations'!$A$3:$A$186,'Jewelry calculations'!$B$3:$B$186))</f>
      </c>
      <c r="F37" s="101">
        <f>IF(E37="","",LOOKUP(A37,'Jewelry calculations'!$A$3:$A$186,'Jewelry calculations'!$M$3:$M$186))</f>
      </c>
      <c r="G37" s="204">
        <f>IF(E37="","",LOOKUP(A37,'Jewelry calculations'!$A$3:$A$186,'Jewelry calculations'!$F$3:$F$186))</f>
      </c>
      <c r="H37" s="205">
        <f ca="1">IF(E37="","",RANDBETWEEN(LOOKUP(A37,'Jewelry calculations'!$A$3:$A$186,'Jewelry calculations'!$G$3:$G$186),LOOKUP(A37,'Jewelry calculations'!$A$3:$A$186,'Jewelry calculations'!$H$3:$H$186)))</f>
      </c>
      <c r="I37" s="203">
        <f ca="1">IF(E37="","",RANDBETWEEN(LOOKUP(A37,'Jewelry calculations'!$A$3:$A$186,'Jewelry calculations'!$D$3:$D$186),LOOKUP(A37,'Jewelry calculations'!$A$3:$A$186,'Jewelry calculations'!$E$3:$E$186)))</f>
      </c>
      <c r="J37" s="207">
        <f ca="1">IF(OR(I37=0,I37=""),"",LOOKUP(RANDBETWEEN(1,53),'Gem types'!$B$3:$B$55,'Gem types'!$C$3:$C$55))</f>
      </c>
      <c r="K37" s="205">
        <f>IF(OR(I37=0,I37=""),"",SUM(LOOKUP(LOOKUP(A37,'Jewelry calculations'!$A$3:$A$186,'Jewelry calculations'!$I$3:$I$186),'Gem types'!$B$3:$B$55,'Gem types'!$G$3:$G$55),PRODUCT(LOOKUP(LOOKUP(A37,'Jewelry calculations'!$A$3:$A$186,'Jewelry calculations'!$I$3:$I$186),'Gem types'!$B$3:$B$55,'Gem types'!$G$3:$G$55),LOOKUP(B37,'Gem types'!$I$3:$I$29,'Gem types'!$J$3:$J$29))))</f>
      </c>
      <c r="L37" s="205">
        <f t="shared" si="3"/>
      </c>
    </row>
    <row r="38" spans="1:12" s="204" customFormat="1" ht="30.75" customHeight="1">
      <c r="A38" s="203">
        <f ca="1" t="shared" si="4"/>
        <v>104</v>
      </c>
      <c r="B38" s="203">
        <f ca="1" t="shared" si="5"/>
        <v>16</v>
      </c>
      <c r="D38" s="208">
        <f t="shared" si="6"/>
      </c>
      <c r="E38" s="99">
        <f>IF(D38="","",LOOKUP(A38,'Jewelry calculations'!$A$3:$A$186,'Jewelry calculations'!$B$3:$B$186))</f>
      </c>
      <c r="F38" s="101">
        <f>IF(E38="","",LOOKUP(A38,'Jewelry calculations'!$A$3:$A$186,'Jewelry calculations'!$M$3:$M$186))</f>
      </c>
      <c r="G38" s="204">
        <f>IF(E38="","",LOOKUP(A38,'Jewelry calculations'!$A$3:$A$186,'Jewelry calculations'!$F$3:$F$186))</f>
      </c>
      <c r="H38" s="205">
        <f ca="1">IF(E38="","",RANDBETWEEN(LOOKUP(A38,'Jewelry calculations'!$A$3:$A$186,'Jewelry calculations'!$G$3:$G$186),LOOKUP(A38,'Jewelry calculations'!$A$3:$A$186,'Jewelry calculations'!$H$3:$H$186)))</f>
      </c>
      <c r="I38" s="203">
        <f ca="1">IF(E38="","",RANDBETWEEN(LOOKUP(A38,'Jewelry calculations'!$A$3:$A$186,'Jewelry calculations'!$D$3:$D$186),LOOKUP(A38,'Jewelry calculations'!$A$3:$A$186,'Jewelry calculations'!$E$3:$E$186)))</f>
      </c>
      <c r="J38" s="207">
        <f ca="1">IF(OR(I38=0,I38=""),"",LOOKUP(RANDBETWEEN(1,53),'Gem types'!$B$3:$B$55,'Gem types'!$C$3:$C$55))</f>
      </c>
      <c r="K38" s="205">
        <f>IF(OR(I38=0,I38=""),"",SUM(LOOKUP(LOOKUP(A38,'Jewelry calculations'!$A$3:$A$186,'Jewelry calculations'!$I$3:$I$186),'Gem types'!$B$3:$B$55,'Gem types'!$G$3:$G$55),PRODUCT(LOOKUP(LOOKUP(A38,'Jewelry calculations'!$A$3:$A$186,'Jewelry calculations'!$I$3:$I$186),'Gem types'!$B$3:$B$55,'Gem types'!$G$3:$G$55),LOOKUP(B38,'Gem types'!$I$3:$I$29,'Gem types'!$J$3:$J$29))))</f>
      </c>
      <c r="L38" s="205">
        <f t="shared" si="3"/>
      </c>
    </row>
    <row r="39" spans="1:12" s="204" customFormat="1" ht="30.75" customHeight="1">
      <c r="A39" s="203">
        <f ca="1" t="shared" si="4"/>
        <v>129</v>
      </c>
      <c r="B39" s="203">
        <f ca="1" t="shared" si="5"/>
        <v>9</v>
      </c>
      <c r="D39" s="208">
        <f t="shared" si="6"/>
      </c>
      <c r="E39" s="99">
        <f>IF(D39="","",LOOKUP(A39,'Jewelry calculations'!$A$3:$A$186,'Jewelry calculations'!$B$3:$B$186))</f>
      </c>
      <c r="F39" s="101">
        <f>IF(E39="","",LOOKUP(A39,'Jewelry calculations'!$A$3:$A$186,'Jewelry calculations'!$M$3:$M$186))</f>
      </c>
      <c r="G39" s="204">
        <f>IF(E39="","",LOOKUP(A39,'Jewelry calculations'!$A$3:$A$186,'Jewelry calculations'!$F$3:$F$186))</f>
      </c>
      <c r="H39" s="205">
        <f ca="1">IF(E39="","",RANDBETWEEN(LOOKUP(A39,'Jewelry calculations'!$A$3:$A$186,'Jewelry calculations'!$G$3:$G$186),LOOKUP(A39,'Jewelry calculations'!$A$3:$A$186,'Jewelry calculations'!$H$3:$H$186)))</f>
      </c>
      <c r="I39" s="203">
        <f ca="1">IF(E39="","",RANDBETWEEN(LOOKUP(A39,'Jewelry calculations'!$A$3:$A$186,'Jewelry calculations'!$D$3:$D$186),LOOKUP(A39,'Jewelry calculations'!$A$3:$A$186,'Jewelry calculations'!$E$3:$E$186)))</f>
      </c>
      <c r="J39" s="207">
        <f ca="1">IF(OR(I39=0,I39=""),"",LOOKUP(RANDBETWEEN(1,53),'Gem types'!$B$3:$B$55,'Gem types'!$C$3:$C$55))</f>
      </c>
      <c r="K39" s="205">
        <f>IF(OR(I39=0,I39=""),"",SUM(LOOKUP(LOOKUP(A39,'Jewelry calculations'!$A$3:$A$186,'Jewelry calculations'!$I$3:$I$186),'Gem types'!$B$3:$B$55,'Gem types'!$G$3:$G$55),PRODUCT(LOOKUP(LOOKUP(A39,'Jewelry calculations'!$A$3:$A$186,'Jewelry calculations'!$I$3:$I$186),'Gem types'!$B$3:$B$55,'Gem types'!$G$3:$G$55),LOOKUP(B39,'Gem types'!$I$3:$I$29,'Gem types'!$J$3:$J$29))))</f>
      </c>
      <c r="L39" s="205">
        <f t="shared" si="3"/>
      </c>
    </row>
    <row r="40" spans="1:12" s="204" customFormat="1" ht="30.75" customHeight="1">
      <c r="A40" s="203">
        <f ca="1" t="shared" si="4"/>
        <v>169</v>
      </c>
      <c r="B40" s="203">
        <f ca="1" t="shared" si="5"/>
        <v>26</v>
      </c>
      <c r="D40" s="208">
        <f t="shared" si="6"/>
      </c>
      <c r="E40" s="99">
        <f>IF(D40="","",LOOKUP(A40,'Jewelry calculations'!$A$3:$A$186,'Jewelry calculations'!$B$3:$B$186))</f>
      </c>
      <c r="F40" s="101">
        <f>IF(E40="","",LOOKUP(A40,'Jewelry calculations'!$A$3:$A$186,'Jewelry calculations'!$M$3:$M$186))</f>
      </c>
      <c r="G40" s="204">
        <f>IF(E40="","",LOOKUP(A40,'Jewelry calculations'!$A$3:$A$186,'Jewelry calculations'!$F$3:$F$186))</f>
      </c>
      <c r="H40" s="205">
        <f ca="1">IF(E40="","",RANDBETWEEN(LOOKUP(A40,'Jewelry calculations'!$A$3:$A$186,'Jewelry calculations'!$G$3:$G$186),LOOKUP(A40,'Jewelry calculations'!$A$3:$A$186,'Jewelry calculations'!$H$3:$H$186)))</f>
      </c>
      <c r="I40" s="203">
        <f ca="1">IF(E40="","",RANDBETWEEN(LOOKUP(A40,'Jewelry calculations'!$A$3:$A$186,'Jewelry calculations'!$D$3:$D$186),LOOKUP(A40,'Jewelry calculations'!$A$3:$A$186,'Jewelry calculations'!$E$3:$E$186)))</f>
      </c>
      <c r="J40" s="207">
        <f ca="1">IF(OR(I40=0,I40=""),"",LOOKUP(RANDBETWEEN(1,53),'Gem types'!$B$3:$B$55,'Gem types'!$C$3:$C$55))</f>
      </c>
      <c r="K40" s="205">
        <f>IF(OR(I40=0,I40=""),"",SUM(LOOKUP(LOOKUP(A40,'Jewelry calculations'!$A$3:$A$186,'Jewelry calculations'!$I$3:$I$186),'Gem types'!$B$3:$B$55,'Gem types'!$G$3:$G$55),PRODUCT(LOOKUP(LOOKUP(A40,'Jewelry calculations'!$A$3:$A$186,'Jewelry calculations'!$I$3:$I$186),'Gem types'!$B$3:$B$55,'Gem types'!$G$3:$G$55),LOOKUP(B40,'Gem types'!$I$3:$I$29,'Gem types'!$J$3:$J$29))))</f>
      </c>
      <c r="L40" s="205">
        <f t="shared" si="3"/>
      </c>
    </row>
    <row r="41" spans="1:12" s="204" customFormat="1" ht="30.75" customHeight="1">
      <c r="A41" s="203">
        <f ca="1" t="shared" si="4"/>
        <v>30</v>
      </c>
      <c r="B41" s="203">
        <f ca="1" t="shared" si="5"/>
        <v>17</v>
      </c>
      <c r="D41" s="208">
        <f t="shared" si="6"/>
      </c>
      <c r="E41" s="99">
        <f>IF(D41="","",LOOKUP(A41,'Jewelry calculations'!$A$3:$A$186,'Jewelry calculations'!$B$3:$B$186))</f>
      </c>
      <c r="F41" s="101">
        <f>IF(E41="","",LOOKUP(A41,'Jewelry calculations'!$A$3:$A$186,'Jewelry calculations'!$M$3:$M$186))</f>
      </c>
      <c r="G41" s="204">
        <f>IF(E41="","",LOOKUP(A41,'Jewelry calculations'!$A$3:$A$186,'Jewelry calculations'!$F$3:$F$186))</f>
      </c>
      <c r="H41" s="205">
        <f ca="1">IF(E41="","",RANDBETWEEN(LOOKUP(A41,'Jewelry calculations'!$A$3:$A$186,'Jewelry calculations'!$G$3:$G$186),LOOKUP(A41,'Jewelry calculations'!$A$3:$A$186,'Jewelry calculations'!$H$3:$H$186)))</f>
      </c>
      <c r="I41" s="203">
        <f ca="1">IF(E41="","",RANDBETWEEN(LOOKUP(A41,'Jewelry calculations'!$A$3:$A$186,'Jewelry calculations'!$D$3:$D$186),LOOKUP(A41,'Jewelry calculations'!$A$3:$A$186,'Jewelry calculations'!$E$3:$E$186)))</f>
      </c>
      <c r="J41" s="207">
        <f ca="1">IF(OR(I41=0,I41=""),"",LOOKUP(RANDBETWEEN(1,53),'Gem types'!$B$3:$B$55,'Gem types'!$C$3:$C$55))</f>
      </c>
      <c r="K41" s="205">
        <f>IF(OR(I41=0,I41=""),"",SUM(LOOKUP(LOOKUP(A41,'Jewelry calculations'!$A$3:$A$186,'Jewelry calculations'!$I$3:$I$186),'Gem types'!$B$3:$B$55,'Gem types'!$G$3:$G$55),PRODUCT(LOOKUP(LOOKUP(A41,'Jewelry calculations'!$A$3:$A$186,'Jewelry calculations'!$I$3:$I$186),'Gem types'!$B$3:$B$55,'Gem types'!$G$3:$G$55),LOOKUP(B41,'Gem types'!$I$3:$I$29,'Gem types'!$J$3:$J$29))))</f>
      </c>
      <c r="L41" s="205">
        <f t="shared" si="3"/>
      </c>
    </row>
    <row r="42" spans="1:12" s="204" customFormat="1" ht="30.75" customHeight="1">
      <c r="A42" s="203">
        <f ca="1" t="shared" si="4"/>
        <v>86</v>
      </c>
      <c r="B42" s="203">
        <f ca="1" t="shared" si="5"/>
        <v>21</v>
      </c>
      <c r="D42" s="208">
        <f t="shared" si="6"/>
      </c>
      <c r="E42" s="99">
        <f>IF(D42="","",LOOKUP(A42,'Jewelry calculations'!$A$3:$A$186,'Jewelry calculations'!$B$3:$B$186))</f>
      </c>
      <c r="F42" s="101">
        <f>IF(E42="","",LOOKUP(A42,'Jewelry calculations'!$A$3:$A$186,'Jewelry calculations'!$M$3:$M$186))</f>
      </c>
      <c r="G42" s="204">
        <f>IF(E42="","",LOOKUP(A42,'Jewelry calculations'!$A$3:$A$186,'Jewelry calculations'!$F$3:$F$186))</f>
      </c>
      <c r="H42" s="205">
        <f ca="1">IF(E42="","",RANDBETWEEN(LOOKUP(A42,'Jewelry calculations'!$A$3:$A$186,'Jewelry calculations'!$G$3:$G$186),LOOKUP(A42,'Jewelry calculations'!$A$3:$A$186,'Jewelry calculations'!$H$3:$H$186)))</f>
      </c>
      <c r="I42" s="203">
        <f ca="1">IF(E42="","",RANDBETWEEN(LOOKUP(A42,'Jewelry calculations'!$A$3:$A$186,'Jewelry calculations'!$D$3:$D$186),LOOKUP(A42,'Jewelry calculations'!$A$3:$A$186,'Jewelry calculations'!$E$3:$E$186)))</f>
      </c>
      <c r="J42" s="207">
        <f ca="1">IF(OR(I42=0,I42=""),"",LOOKUP(RANDBETWEEN(1,53),'Gem types'!$B$3:$B$55,'Gem types'!$C$3:$C$55))</f>
      </c>
      <c r="K42" s="205">
        <f>IF(OR(I42=0,I42=""),"",SUM(LOOKUP(LOOKUP(A42,'Jewelry calculations'!$A$3:$A$186,'Jewelry calculations'!$I$3:$I$186),'Gem types'!$B$3:$B$55,'Gem types'!$G$3:$G$55),PRODUCT(LOOKUP(LOOKUP(A42,'Jewelry calculations'!$A$3:$A$186,'Jewelry calculations'!$I$3:$I$186),'Gem types'!$B$3:$B$55,'Gem types'!$G$3:$G$55),LOOKUP(B42,'Gem types'!$I$3:$I$29,'Gem types'!$J$3:$J$29))))</f>
      </c>
      <c r="L42" s="205">
        <f t="shared" si="3"/>
      </c>
    </row>
    <row r="43" spans="1:12" s="204" customFormat="1" ht="30.75" customHeight="1">
      <c r="A43" s="203">
        <f ca="1" t="shared" si="4"/>
        <v>29</v>
      </c>
      <c r="B43" s="203">
        <f ca="1" t="shared" si="5"/>
        <v>5</v>
      </c>
      <c r="D43" s="208">
        <f t="shared" si="6"/>
      </c>
      <c r="E43" s="99">
        <f>IF(D43="","",LOOKUP(A43,'Jewelry calculations'!$A$3:$A$186,'Jewelry calculations'!$B$3:$B$186))</f>
      </c>
      <c r="F43" s="101">
        <f>IF(E43="","",LOOKUP(A43,'Jewelry calculations'!$A$3:$A$186,'Jewelry calculations'!$M$3:$M$186))</f>
      </c>
      <c r="G43" s="204">
        <f>IF(E43="","",LOOKUP(A43,'Jewelry calculations'!$A$3:$A$186,'Jewelry calculations'!$F$3:$F$186))</f>
      </c>
      <c r="H43" s="205">
        <f ca="1">IF(E43="","",RANDBETWEEN(LOOKUP(A43,'Jewelry calculations'!$A$3:$A$186,'Jewelry calculations'!$G$3:$G$186),LOOKUP(A43,'Jewelry calculations'!$A$3:$A$186,'Jewelry calculations'!$H$3:$H$186)))</f>
      </c>
      <c r="I43" s="203">
        <f ca="1">IF(E43="","",RANDBETWEEN(LOOKUP(A43,'Jewelry calculations'!$A$3:$A$186,'Jewelry calculations'!$D$3:$D$186),LOOKUP(A43,'Jewelry calculations'!$A$3:$A$186,'Jewelry calculations'!$E$3:$E$186)))</f>
      </c>
      <c r="J43" s="207">
        <f ca="1">IF(OR(I43=0,I43=""),"",LOOKUP(RANDBETWEEN(1,53),'Gem types'!$B$3:$B$55,'Gem types'!$C$3:$C$55))</f>
      </c>
      <c r="K43" s="205">
        <f>IF(OR(I43=0,I43=""),"",SUM(LOOKUP(LOOKUP(A43,'Jewelry calculations'!$A$3:$A$186,'Jewelry calculations'!$I$3:$I$186),'Gem types'!$B$3:$B$55,'Gem types'!$G$3:$G$55),PRODUCT(LOOKUP(LOOKUP(A43,'Jewelry calculations'!$A$3:$A$186,'Jewelry calculations'!$I$3:$I$186),'Gem types'!$B$3:$B$55,'Gem types'!$G$3:$G$55),LOOKUP(B43,'Gem types'!$I$3:$I$29,'Gem types'!$J$3:$J$29))))</f>
      </c>
      <c r="L43" s="205">
        <f t="shared" si="3"/>
      </c>
    </row>
    <row r="44" spans="1:12" s="204" customFormat="1" ht="30.75" customHeight="1">
      <c r="A44" s="203">
        <f ca="1" t="shared" si="4"/>
        <v>120</v>
      </c>
      <c r="B44" s="203">
        <f ca="1" t="shared" si="5"/>
        <v>9</v>
      </c>
      <c r="D44" s="208">
        <f t="shared" si="6"/>
      </c>
      <c r="E44" s="99">
        <f>IF(D44="","",LOOKUP(A44,'Jewelry calculations'!$A$3:$A$186,'Jewelry calculations'!$B$3:$B$186))</f>
      </c>
      <c r="F44" s="101">
        <f>IF(E44="","",LOOKUP(A44,'Jewelry calculations'!$A$3:$A$186,'Jewelry calculations'!$M$3:$M$186))</f>
      </c>
      <c r="G44" s="204">
        <f>IF(E44="","",LOOKUP(A44,'Jewelry calculations'!$A$3:$A$186,'Jewelry calculations'!$F$3:$F$186))</f>
      </c>
      <c r="H44" s="205">
        <f ca="1">IF(E44="","",RANDBETWEEN(LOOKUP(A44,'Jewelry calculations'!$A$3:$A$186,'Jewelry calculations'!$G$3:$G$186),LOOKUP(A44,'Jewelry calculations'!$A$3:$A$186,'Jewelry calculations'!$H$3:$H$186)))</f>
      </c>
      <c r="I44" s="203">
        <f ca="1">IF(E44="","",RANDBETWEEN(LOOKUP(A44,'Jewelry calculations'!$A$3:$A$186,'Jewelry calculations'!$D$3:$D$186),LOOKUP(A44,'Jewelry calculations'!$A$3:$A$186,'Jewelry calculations'!$E$3:$E$186)))</f>
      </c>
      <c r="J44" s="207">
        <f ca="1">IF(OR(I44=0,I44=""),"",LOOKUP(RANDBETWEEN(1,53),'Gem types'!$B$3:$B$55,'Gem types'!$C$3:$C$55))</f>
      </c>
      <c r="K44" s="205">
        <f>IF(OR(I44=0,I44=""),"",SUM(LOOKUP(LOOKUP(A44,'Jewelry calculations'!$A$3:$A$186,'Jewelry calculations'!$I$3:$I$186),'Gem types'!$B$3:$B$55,'Gem types'!$G$3:$G$55),PRODUCT(LOOKUP(LOOKUP(A44,'Jewelry calculations'!$A$3:$A$186,'Jewelry calculations'!$I$3:$I$186),'Gem types'!$B$3:$B$55,'Gem types'!$G$3:$G$55),LOOKUP(B44,'Gem types'!$I$3:$I$29,'Gem types'!$J$3:$J$29))))</f>
      </c>
      <c r="L44" s="205">
        <f t="shared" si="3"/>
      </c>
    </row>
    <row r="45" spans="1:12" s="204" customFormat="1" ht="30.75" customHeight="1">
      <c r="A45" s="203">
        <f ca="1" t="shared" si="4"/>
        <v>116</v>
      </c>
      <c r="B45" s="203">
        <f ca="1" t="shared" si="5"/>
        <v>13</v>
      </c>
      <c r="D45" s="208">
        <f t="shared" si="6"/>
      </c>
      <c r="E45" s="99">
        <f>IF(D45="","",LOOKUP(A45,'Jewelry calculations'!$A$3:$A$186,'Jewelry calculations'!$B$3:$B$186))</f>
      </c>
      <c r="F45" s="101">
        <f>IF(E45="","",LOOKUP(A45,'Jewelry calculations'!$A$3:$A$186,'Jewelry calculations'!$M$3:$M$186))</f>
      </c>
      <c r="G45" s="204">
        <f>IF(E45="","",LOOKUP(A45,'Jewelry calculations'!$A$3:$A$186,'Jewelry calculations'!$F$3:$F$186))</f>
      </c>
      <c r="H45" s="205">
        <f ca="1">IF(E45="","",RANDBETWEEN(LOOKUP(A45,'Jewelry calculations'!$A$3:$A$186,'Jewelry calculations'!$G$3:$G$186),LOOKUP(A45,'Jewelry calculations'!$A$3:$A$186,'Jewelry calculations'!$H$3:$H$186)))</f>
      </c>
      <c r="I45" s="203">
        <f ca="1">IF(E45="","",RANDBETWEEN(LOOKUP(A45,'Jewelry calculations'!$A$3:$A$186,'Jewelry calculations'!$D$3:$D$186),LOOKUP(A45,'Jewelry calculations'!$A$3:$A$186,'Jewelry calculations'!$E$3:$E$186)))</f>
      </c>
      <c r="J45" s="207">
        <f ca="1">IF(OR(I45=0,I45=""),"",LOOKUP(RANDBETWEEN(1,53),'Gem types'!$B$3:$B$55,'Gem types'!$C$3:$C$55))</f>
      </c>
      <c r="K45" s="205">
        <f>IF(OR(I45=0,I45=""),"",SUM(LOOKUP(LOOKUP(A45,'Jewelry calculations'!$A$3:$A$186,'Jewelry calculations'!$I$3:$I$186),'Gem types'!$B$3:$B$55,'Gem types'!$G$3:$G$55),PRODUCT(LOOKUP(LOOKUP(A45,'Jewelry calculations'!$A$3:$A$186,'Jewelry calculations'!$I$3:$I$186),'Gem types'!$B$3:$B$55,'Gem types'!$G$3:$G$55),LOOKUP(B45,'Gem types'!$I$3:$I$29,'Gem types'!$J$3:$J$29))))</f>
      </c>
      <c r="L45" s="205">
        <f t="shared" si="3"/>
      </c>
    </row>
    <row r="46" spans="1:12" s="204" customFormat="1" ht="30.75" customHeight="1">
      <c r="A46" s="203">
        <f ca="1" t="shared" si="4"/>
        <v>168</v>
      </c>
      <c r="B46" s="203">
        <f ca="1" t="shared" si="5"/>
        <v>16</v>
      </c>
      <c r="D46" s="208">
        <f t="shared" si="6"/>
      </c>
      <c r="E46" s="99">
        <f>IF(D46="","",LOOKUP(A46,'Jewelry calculations'!$A$3:$A$186,'Jewelry calculations'!$B$3:$B$186))</f>
      </c>
      <c r="F46" s="101">
        <f>IF(E46="","",LOOKUP(A46,'Jewelry calculations'!$A$3:$A$186,'Jewelry calculations'!$M$3:$M$186))</f>
      </c>
      <c r="G46" s="204">
        <f>IF(E46="","",LOOKUP(A46,'Jewelry calculations'!$A$3:$A$186,'Jewelry calculations'!$F$3:$F$186))</f>
      </c>
      <c r="H46" s="205">
        <f ca="1">IF(E46="","",RANDBETWEEN(LOOKUP(A46,'Jewelry calculations'!$A$3:$A$186,'Jewelry calculations'!$G$3:$G$186),LOOKUP(A46,'Jewelry calculations'!$A$3:$A$186,'Jewelry calculations'!$H$3:$H$186)))</f>
      </c>
      <c r="I46" s="203">
        <f ca="1">IF(E46="","",RANDBETWEEN(LOOKUP(A46,'Jewelry calculations'!$A$3:$A$186,'Jewelry calculations'!$D$3:$D$186),LOOKUP(A46,'Jewelry calculations'!$A$3:$A$186,'Jewelry calculations'!$E$3:$E$186)))</f>
      </c>
      <c r="J46" s="207">
        <f ca="1">IF(OR(I46=0,I46=""),"",LOOKUP(RANDBETWEEN(1,53),'Gem types'!$B$3:$B$55,'Gem types'!$C$3:$C$55))</f>
      </c>
      <c r="K46" s="205">
        <f>IF(OR(I46=0,I46=""),"",SUM(LOOKUP(LOOKUP(A46,'Jewelry calculations'!$A$3:$A$186,'Jewelry calculations'!$I$3:$I$186),'Gem types'!$B$3:$B$55,'Gem types'!$G$3:$G$55),PRODUCT(LOOKUP(LOOKUP(A46,'Jewelry calculations'!$A$3:$A$186,'Jewelry calculations'!$I$3:$I$186),'Gem types'!$B$3:$B$55,'Gem types'!$G$3:$G$55),LOOKUP(B46,'Gem types'!$I$3:$I$29,'Gem types'!$J$3:$J$29))))</f>
      </c>
      <c r="L46" s="205">
        <f t="shared" si="3"/>
      </c>
    </row>
    <row r="47" spans="1:12" s="204" customFormat="1" ht="30.75" customHeight="1">
      <c r="A47" s="203">
        <f ca="1" t="shared" si="4"/>
        <v>101</v>
      </c>
      <c r="B47" s="203">
        <f ca="1" t="shared" si="5"/>
        <v>19</v>
      </c>
      <c r="D47" s="208">
        <f t="shared" si="6"/>
      </c>
      <c r="E47" s="99">
        <f>IF(D47="","",LOOKUP(A47,'Jewelry calculations'!$A$3:$A$186,'Jewelry calculations'!$B$3:$B$186))</f>
      </c>
      <c r="F47" s="101">
        <f>IF(E47="","",LOOKUP(A47,'Jewelry calculations'!$A$3:$A$186,'Jewelry calculations'!$M$3:$M$186))</f>
      </c>
      <c r="G47" s="204">
        <f>IF(E47="","",LOOKUP(A47,'Jewelry calculations'!$A$3:$A$186,'Jewelry calculations'!$F$3:$F$186))</f>
      </c>
      <c r="H47" s="205">
        <f ca="1">IF(E47="","",RANDBETWEEN(LOOKUP(A47,'Jewelry calculations'!$A$3:$A$186,'Jewelry calculations'!$G$3:$G$186),LOOKUP(A47,'Jewelry calculations'!$A$3:$A$186,'Jewelry calculations'!$H$3:$H$186)))</f>
      </c>
      <c r="I47" s="203">
        <f ca="1">IF(E47="","",RANDBETWEEN(LOOKUP(A47,'Jewelry calculations'!$A$3:$A$186,'Jewelry calculations'!$D$3:$D$186),LOOKUP(A47,'Jewelry calculations'!$A$3:$A$186,'Jewelry calculations'!$E$3:$E$186)))</f>
      </c>
      <c r="J47" s="207">
        <f ca="1">IF(OR(I47=0,I47=""),"",LOOKUP(RANDBETWEEN(1,53),'Gem types'!$B$3:$B$55,'Gem types'!$C$3:$C$55))</f>
      </c>
      <c r="K47" s="205">
        <f>IF(OR(I47=0,I47=""),"",SUM(LOOKUP(LOOKUP(A47,'Jewelry calculations'!$A$3:$A$186,'Jewelry calculations'!$I$3:$I$186),'Gem types'!$B$3:$B$55,'Gem types'!$G$3:$G$55),PRODUCT(LOOKUP(LOOKUP(A47,'Jewelry calculations'!$A$3:$A$186,'Jewelry calculations'!$I$3:$I$186),'Gem types'!$B$3:$B$55,'Gem types'!$G$3:$G$55),LOOKUP(B47,'Gem types'!$I$3:$I$29,'Gem types'!$J$3:$J$29))))</f>
      </c>
      <c r="L47" s="205">
        <f t="shared" si="3"/>
      </c>
    </row>
    <row r="48" spans="1:12" s="204" customFormat="1" ht="30.75" customHeight="1">
      <c r="A48" s="203">
        <f ca="1" t="shared" si="4"/>
        <v>100</v>
      </c>
      <c r="B48" s="203">
        <f ca="1" t="shared" si="5"/>
        <v>4</v>
      </c>
      <c r="D48" s="208">
        <f t="shared" si="6"/>
      </c>
      <c r="E48" s="99">
        <f>IF(D48="","",LOOKUP(A48,'Jewelry calculations'!$A$3:$A$186,'Jewelry calculations'!$B$3:$B$186))</f>
      </c>
      <c r="F48" s="101">
        <f>IF(E48="","",LOOKUP(A48,'Jewelry calculations'!$A$3:$A$186,'Jewelry calculations'!$M$3:$M$186))</f>
      </c>
      <c r="G48" s="204">
        <f>IF(E48="","",LOOKUP(A48,'Jewelry calculations'!$A$3:$A$186,'Jewelry calculations'!$F$3:$F$186))</f>
      </c>
      <c r="H48" s="205">
        <f ca="1">IF(E48="","",RANDBETWEEN(LOOKUP(A48,'Jewelry calculations'!$A$3:$A$186,'Jewelry calculations'!$G$3:$G$186),LOOKUP(A48,'Jewelry calculations'!$A$3:$A$186,'Jewelry calculations'!$H$3:$H$186)))</f>
      </c>
      <c r="I48" s="203">
        <f ca="1">IF(E48="","",RANDBETWEEN(LOOKUP(A48,'Jewelry calculations'!$A$3:$A$186,'Jewelry calculations'!$D$3:$D$186),LOOKUP(A48,'Jewelry calculations'!$A$3:$A$186,'Jewelry calculations'!$E$3:$E$186)))</f>
      </c>
      <c r="J48" s="207">
        <f ca="1">IF(OR(I48=0,I48=""),"",LOOKUP(RANDBETWEEN(1,53),'Gem types'!$B$3:$B$55,'Gem types'!$C$3:$C$55))</f>
      </c>
      <c r="K48" s="205">
        <f>IF(OR(I48=0,I48=""),"",SUM(LOOKUP(LOOKUP(A48,'Jewelry calculations'!$A$3:$A$186,'Jewelry calculations'!$I$3:$I$186),'Gem types'!$B$3:$B$55,'Gem types'!$G$3:$G$55),PRODUCT(LOOKUP(LOOKUP(A48,'Jewelry calculations'!$A$3:$A$186,'Jewelry calculations'!$I$3:$I$186),'Gem types'!$B$3:$B$55,'Gem types'!$G$3:$G$55),LOOKUP(B48,'Gem types'!$I$3:$I$29,'Gem types'!$J$3:$J$29))))</f>
      </c>
      <c r="L48" s="205">
        <f t="shared" si="3"/>
      </c>
    </row>
    <row r="49" spans="1:12" s="204" customFormat="1" ht="30.75" customHeight="1">
      <c r="A49" s="203">
        <f ca="1" t="shared" si="4"/>
        <v>148</v>
      </c>
      <c r="B49" s="203">
        <f ca="1" t="shared" si="5"/>
        <v>14</v>
      </c>
      <c r="D49" s="208">
        <f t="shared" si="6"/>
      </c>
      <c r="E49" s="99">
        <f>IF(D49="","",LOOKUP(A49,'Jewelry calculations'!$A$3:$A$186,'Jewelry calculations'!$B$3:$B$186))</f>
      </c>
      <c r="F49" s="101">
        <f>IF(E49="","",LOOKUP(A49,'Jewelry calculations'!$A$3:$A$186,'Jewelry calculations'!$M$3:$M$186))</f>
      </c>
      <c r="G49" s="204">
        <f>IF(E49="","",LOOKUP(A49,'Jewelry calculations'!$A$3:$A$186,'Jewelry calculations'!$F$3:$F$186))</f>
      </c>
      <c r="H49" s="205">
        <f ca="1">IF(E49="","",RANDBETWEEN(LOOKUP(A49,'Jewelry calculations'!$A$3:$A$186,'Jewelry calculations'!$G$3:$G$186),LOOKUP(A49,'Jewelry calculations'!$A$3:$A$186,'Jewelry calculations'!$H$3:$H$186)))</f>
      </c>
      <c r="I49" s="203">
        <f ca="1">IF(E49="","",RANDBETWEEN(LOOKUP(A49,'Jewelry calculations'!$A$3:$A$186,'Jewelry calculations'!$D$3:$D$186),LOOKUP(A49,'Jewelry calculations'!$A$3:$A$186,'Jewelry calculations'!$E$3:$E$186)))</f>
      </c>
      <c r="J49" s="207">
        <f ca="1">IF(OR(I49=0,I49=""),"",LOOKUP(RANDBETWEEN(1,53),'Gem types'!$B$3:$B$55,'Gem types'!$C$3:$C$55))</f>
      </c>
      <c r="K49" s="205">
        <f>IF(OR(I49=0,I49=""),"",SUM(LOOKUP(LOOKUP(A49,'Jewelry calculations'!$A$3:$A$186,'Jewelry calculations'!$I$3:$I$186),'Gem types'!$B$3:$B$55,'Gem types'!$G$3:$G$55),PRODUCT(LOOKUP(LOOKUP(A49,'Jewelry calculations'!$A$3:$A$186,'Jewelry calculations'!$I$3:$I$186),'Gem types'!$B$3:$B$55,'Gem types'!$G$3:$G$55),LOOKUP(B49,'Gem types'!$I$3:$I$29,'Gem types'!$J$3:$J$29))))</f>
      </c>
      <c r="L49" s="205">
        <f t="shared" si="3"/>
      </c>
    </row>
    <row r="50" spans="1:12" s="204" customFormat="1" ht="30.75" customHeight="1">
      <c r="A50" s="203">
        <f ca="1" t="shared" si="4"/>
        <v>105</v>
      </c>
      <c r="B50" s="203">
        <f ca="1" t="shared" si="5"/>
        <v>1</v>
      </c>
      <c r="D50" s="208">
        <f t="shared" si="6"/>
      </c>
      <c r="E50" s="99">
        <f>IF(D50="","",LOOKUP(A50,'Jewelry calculations'!$A$3:$A$186,'Jewelry calculations'!$B$3:$B$186))</f>
      </c>
      <c r="F50" s="101">
        <f>IF(E50="","",LOOKUP(A50,'Jewelry calculations'!$A$3:$A$186,'Jewelry calculations'!$M$3:$M$186))</f>
      </c>
      <c r="G50" s="204">
        <f>IF(E50="","",LOOKUP(A50,'Jewelry calculations'!$A$3:$A$186,'Jewelry calculations'!$F$3:$F$186))</f>
      </c>
      <c r="H50" s="205">
        <f ca="1">IF(E50="","",RANDBETWEEN(LOOKUP(A50,'Jewelry calculations'!$A$3:$A$186,'Jewelry calculations'!$G$3:$G$186),LOOKUP(A50,'Jewelry calculations'!$A$3:$A$186,'Jewelry calculations'!$H$3:$H$186)))</f>
      </c>
      <c r="I50" s="203">
        <f ca="1">IF(E50="","",RANDBETWEEN(LOOKUP(A50,'Jewelry calculations'!$A$3:$A$186,'Jewelry calculations'!$D$3:$D$186),LOOKUP(A50,'Jewelry calculations'!$A$3:$A$186,'Jewelry calculations'!$E$3:$E$186)))</f>
      </c>
      <c r="J50" s="207">
        <f ca="1">IF(OR(I50=0,I50=""),"",LOOKUP(RANDBETWEEN(1,53),'Gem types'!$B$3:$B$55,'Gem types'!$C$3:$C$55))</f>
      </c>
      <c r="K50" s="205">
        <f>IF(OR(I50=0,I50=""),"",SUM(LOOKUP(LOOKUP(A50,'Jewelry calculations'!$A$3:$A$186,'Jewelry calculations'!$I$3:$I$186),'Gem types'!$B$3:$B$55,'Gem types'!$G$3:$G$55),PRODUCT(LOOKUP(LOOKUP(A50,'Jewelry calculations'!$A$3:$A$186,'Jewelry calculations'!$I$3:$I$186),'Gem types'!$B$3:$B$55,'Gem types'!$G$3:$G$55),LOOKUP(B50,'Gem types'!$I$3:$I$29,'Gem types'!$J$3:$J$29))))</f>
      </c>
      <c r="L50" s="205">
        <f t="shared" si="3"/>
      </c>
    </row>
    <row r="51" spans="1:12" s="204" customFormat="1" ht="30.75" customHeight="1">
      <c r="A51" s="203">
        <f ca="1" t="shared" si="4"/>
        <v>83</v>
      </c>
      <c r="B51" s="203">
        <f ca="1" t="shared" si="5"/>
        <v>13</v>
      </c>
      <c r="D51" s="208">
        <f t="shared" si="6"/>
      </c>
      <c r="E51" s="99">
        <f>IF(D51="","",LOOKUP(A51,'Jewelry calculations'!$A$3:$A$186,'Jewelry calculations'!$B$3:$B$186))</f>
      </c>
      <c r="F51" s="101">
        <f>IF(E51="","",LOOKUP(A51,'Jewelry calculations'!$A$3:$A$186,'Jewelry calculations'!$M$3:$M$186))</f>
      </c>
      <c r="G51" s="204">
        <f>IF(E51="","",LOOKUP(A51,'Jewelry calculations'!$A$3:$A$186,'Jewelry calculations'!$F$3:$F$186))</f>
      </c>
      <c r="H51" s="205">
        <f ca="1">IF(E51="","",RANDBETWEEN(LOOKUP(A51,'Jewelry calculations'!$A$3:$A$186,'Jewelry calculations'!$G$3:$G$186),LOOKUP(A51,'Jewelry calculations'!$A$3:$A$186,'Jewelry calculations'!$H$3:$H$186)))</f>
      </c>
      <c r="I51" s="203">
        <f ca="1">IF(E51="","",RANDBETWEEN(LOOKUP(A51,'Jewelry calculations'!$A$3:$A$186,'Jewelry calculations'!$D$3:$D$186),LOOKUP(A51,'Jewelry calculations'!$A$3:$A$186,'Jewelry calculations'!$E$3:$E$186)))</f>
      </c>
      <c r="J51" s="207">
        <f ca="1">IF(OR(I51=0,I51=""),"",LOOKUP(RANDBETWEEN(1,53),'Gem types'!$B$3:$B$55,'Gem types'!$C$3:$C$55))</f>
      </c>
      <c r="K51" s="205">
        <f>IF(OR(I51=0,I51=""),"",SUM(LOOKUP(LOOKUP(A51,'Jewelry calculations'!$A$3:$A$186,'Jewelry calculations'!$I$3:$I$186),'Gem types'!$B$3:$B$55,'Gem types'!$G$3:$G$55),PRODUCT(LOOKUP(LOOKUP(A51,'Jewelry calculations'!$A$3:$A$186,'Jewelry calculations'!$I$3:$I$186),'Gem types'!$B$3:$B$55,'Gem types'!$G$3:$G$55),LOOKUP(B51,'Gem types'!$I$3:$I$29,'Gem types'!$J$3:$J$29))))</f>
      </c>
      <c r="L51" s="205">
        <f t="shared" si="3"/>
      </c>
    </row>
    <row r="52" spans="1:12" s="204" customFormat="1" ht="30.75" customHeight="1">
      <c r="A52" s="203">
        <f ca="1" t="shared" si="4"/>
        <v>82</v>
      </c>
      <c r="B52" s="203">
        <f ca="1" t="shared" si="5"/>
        <v>20</v>
      </c>
      <c r="D52" s="208">
        <f t="shared" si="6"/>
      </c>
      <c r="E52" s="99">
        <f>IF(D52="","",LOOKUP(A52,'Jewelry calculations'!$A$3:$A$186,'Jewelry calculations'!$B$3:$B$186))</f>
      </c>
      <c r="F52" s="101">
        <f>IF(E52="","",LOOKUP(A52,'Jewelry calculations'!$A$3:$A$186,'Jewelry calculations'!$M$3:$M$186))</f>
      </c>
      <c r="G52" s="204">
        <f>IF(E52="","",LOOKUP(A52,'Jewelry calculations'!$A$3:$A$186,'Jewelry calculations'!$F$3:$F$186))</f>
      </c>
      <c r="H52" s="205">
        <f ca="1">IF(E52="","",RANDBETWEEN(LOOKUP(A52,'Jewelry calculations'!$A$3:$A$186,'Jewelry calculations'!$G$3:$G$186),LOOKUP(A52,'Jewelry calculations'!$A$3:$A$186,'Jewelry calculations'!$H$3:$H$186)))</f>
      </c>
      <c r="I52" s="203">
        <f ca="1">IF(E52="","",RANDBETWEEN(LOOKUP(A52,'Jewelry calculations'!$A$3:$A$186,'Jewelry calculations'!$D$3:$D$186),LOOKUP(A52,'Jewelry calculations'!$A$3:$A$186,'Jewelry calculations'!$E$3:$E$186)))</f>
      </c>
      <c r="J52" s="207">
        <f ca="1">IF(OR(I52=0,I52=""),"",LOOKUP(RANDBETWEEN(1,53),'Gem types'!$B$3:$B$55,'Gem types'!$C$3:$C$55))</f>
      </c>
      <c r="K52" s="205">
        <f>IF(OR(I52=0,I52=""),"",SUM(LOOKUP(LOOKUP(A52,'Jewelry calculations'!$A$3:$A$186,'Jewelry calculations'!$I$3:$I$186),'Gem types'!$B$3:$B$55,'Gem types'!$G$3:$G$55),PRODUCT(LOOKUP(LOOKUP(A52,'Jewelry calculations'!$A$3:$A$186,'Jewelry calculations'!$I$3:$I$186),'Gem types'!$B$3:$B$55,'Gem types'!$G$3:$G$55),LOOKUP(B52,'Gem types'!$I$3:$I$29,'Gem types'!$J$3:$J$29))))</f>
      </c>
      <c r="L52" s="205">
        <f t="shared" si="3"/>
      </c>
    </row>
    <row r="53" spans="1:12" s="204" customFormat="1" ht="30.75" customHeight="1">
      <c r="A53" s="203">
        <f ca="1" t="shared" si="4"/>
        <v>171</v>
      </c>
      <c r="B53" s="203">
        <f ca="1" t="shared" si="5"/>
        <v>8</v>
      </c>
      <c r="D53" s="208">
        <f t="shared" si="6"/>
      </c>
      <c r="E53" s="99">
        <f>IF(D53="","",LOOKUP(A53,'Jewelry calculations'!$A$3:$A$186,'Jewelry calculations'!$B$3:$B$186))</f>
      </c>
      <c r="F53" s="101">
        <f>IF(E53="","",LOOKUP(A53,'Jewelry calculations'!$A$3:$A$186,'Jewelry calculations'!$M$3:$M$186))</f>
      </c>
      <c r="G53" s="204">
        <f>IF(E53="","",LOOKUP(A53,'Jewelry calculations'!$A$3:$A$186,'Jewelry calculations'!$F$3:$F$186))</f>
      </c>
      <c r="H53" s="205">
        <f ca="1">IF(E53="","",RANDBETWEEN(LOOKUP(A53,'Jewelry calculations'!$A$3:$A$186,'Jewelry calculations'!$G$3:$G$186),LOOKUP(A53,'Jewelry calculations'!$A$3:$A$186,'Jewelry calculations'!$H$3:$H$186)))</f>
      </c>
      <c r="I53" s="203">
        <f ca="1">IF(E53="","",RANDBETWEEN(LOOKUP(A53,'Jewelry calculations'!$A$3:$A$186,'Jewelry calculations'!$D$3:$D$186),LOOKUP(A53,'Jewelry calculations'!$A$3:$A$186,'Jewelry calculations'!$E$3:$E$186)))</f>
      </c>
      <c r="J53" s="207">
        <f ca="1">IF(OR(I53=0,I53=""),"",LOOKUP(RANDBETWEEN(1,53),'Gem types'!$B$3:$B$55,'Gem types'!$C$3:$C$55))</f>
      </c>
      <c r="K53" s="205">
        <f>IF(OR(I53=0,I53=""),"",SUM(LOOKUP(LOOKUP(A53,'Jewelry calculations'!$A$3:$A$186,'Jewelry calculations'!$I$3:$I$186),'Gem types'!$B$3:$B$55,'Gem types'!$G$3:$G$55),PRODUCT(LOOKUP(LOOKUP(A53,'Jewelry calculations'!$A$3:$A$186,'Jewelry calculations'!$I$3:$I$186),'Gem types'!$B$3:$B$55,'Gem types'!$G$3:$G$55),LOOKUP(B53,'Gem types'!$I$3:$I$29,'Gem types'!$J$3:$J$29))))</f>
      </c>
      <c r="L53" s="205">
        <f t="shared" si="3"/>
      </c>
    </row>
    <row r="54" spans="1:12" s="204" customFormat="1" ht="30.75" customHeight="1">
      <c r="A54" s="203">
        <f ca="1" t="shared" si="4"/>
        <v>65</v>
      </c>
      <c r="B54" s="203">
        <f ca="1" t="shared" si="5"/>
        <v>26</v>
      </c>
      <c r="D54" s="208">
        <f t="shared" si="6"/>
      </c>
      <c r="E54" s="99">
        <f>IF(D54="","",LOOKUP(A54,'Jewelry calculations'!$A$3:$A$186,'Jewelry calculations'!$B$3:$B$186))</f>
      </c>
      <c r="F54" s="101">
        <f>IF(E54="","",LOOKUP(A54,'Jewelry calculations'!$A$3:$A$186,'Jewelry calculations'!$M$3:$M$186))</f>
      </c>
      <c r="G54" s="204">
        <f>IF(E54="","",LOOKUP(A54,'Jewelry calculations'!$A$3:$A$186,'Jewelry calculations'!$F$3:$F$186))</f>
      </c>
      <c r="H54" s="205">
        <f ca="1">IF(E54="","",RANDBETWEEN(LOOKUP(A54,'Jewelry calculations'!$A$3:$A$186,'Jewelry calculations'!$G$3:$G$186),LOOKUP(A54,'Jewelry calculations'!$A$3:$A$186,'Jewelry calculations'!$H$3:$H$186)))</f>
      </c>
      <c r="I54" s="203">
        <f ca="1">IF(E54="","",RANDBETWEEN(LOOKUP(A54,'Jewelry calculations'!$A$3:$A$186,'Jewelry calculations'!$D$3:$D$186),LOOKUP(A54,'Jewelry calculations'!$A$3:$A$186,'Jewelry calculations'!$E$3:$E$186)))</f>
      </c>
      <c r="J54" s="207">
        <f ca="1">IF(OR(I54=0,I54=""),"",LOOKUP(RANDBETWEEN(1,53),'Gem types'!$B$3:$B$55,'Gem types'!$C$3:$C$55))</f>
      </c>
      <c r="K54" s="205">
        <f>IF(OR(I54=0,I54=""),"",SUM(LOOKUP(LOOKUP(A54,'Jewelry calculations'!$A$3:$A$186,'Jewelry calculations'!$I$3:$I$186),'Gem types'!$B$3:$B$55,'Gem types'!$G$3:$G$55),PRODUCT(LOOKUP(LOOKUP(A54,'Jewelry calculations'!$A$3:$A$186,'Jewelry calculations'!$I$3:$I$186),'Gem types'!$B$3:$B$55,'Gem types'!$G$3:$G$55),LOOKUP(B54,'Gem types'!$I$3:$I$29,'Gem types'!$J$3:$J$29))))</f>
      </c>
      <c r="L54" s="205">
        <f t="shared" si="3"/>
      </c>
    </row>
    <row r="55" spans="1:12" s="204" customFormat="1" ht="30.75" customHeight="1">
      <c r="A55" s="203">
        <f ca="1" t="shared" si="4"/>
        <v>96</v>
      </c>
      <c r="B55" s="203">
        <f ca="1" t="shared" si="5"/>
        <v>10</v>
      </c>
      <c r="D55" s="208">
        <f t="shared" si="6"/>
      </c>
      <c r="E55" s="99">
        <f>IF(D55="","",LOOKUP(A55,'Jewelry calculations'!$A$3:$A$186,'Jewelry calculations'!$B$3:$B$186))</f>
      </c>
      <c r="F55" s="101">
        <f>IF(E55="","",LOOKUP(A55,'Jewelry calculations'!$A$3:$A$186,'Jewelry calculations'!$M$3:$M$186))</f>
      </c>
      <c r="G55" s="204">
        <f>IF(E55="","",LOOKUP(A55,'Jewelry calculations'!$A$3:$A$186,'Jewelry calculations'!$F$3:$F$186))</f>
      </c>
      <c r="H55" s="205">
        <f ca="1">IF(E55="","",RANDBETWEEN(LOOKUP(A55,'Jewelry calculations'!$A$3:$A$186,'Jewelry calculations'!$G$3:$G$186),LOOKUP(A55,'Jewelry calculations'!$A$3:$A$186,'Jewelry calculations'!$H$3:$H$186)))</f>
      </c>
      <c r="I55" s="203">
        <f ca="1">IF(E55="","",RANDBETWEEN(LOOKUP(A55,'Jewelry calculations'!$A$3:$A$186,'Jewelry calculations'!$D$3:$D$186),LOOKUP(A55,'Jewelry calculations'!$A$3:$A$186,'Jewelry calculations'!$E$3:$E$186)))</f>
      </c>
      <c r="J55" s="207">
        <f ca="1">IF(OR(I55=0,I55=""),"",LOOKUP(RANDBETWEEN(1,53),'Gem types'!$B$3:$B$55,'Gem types'!$C$3:$C$55))</f>
      </c>
      <c r="K55" s="205">
        <f>IF(OR(I55=0,I55=""),"",SUM(LOOKUP(LOOKUP(A55,'Jewelry calculations'!$A$3:$A$186,'Jewelry calculations'!$I$3:$I$186),'Gem types'!$B$3:$B$55,'Gem types'!$G$3:$G$55),PRODUCT(LOOKUP(LOOKUP(A55,'Jewelry calculations'!$A$3:$A$186,'Jewelry calculations'!$I$3:$I$186),'Gem types'!$B$3:$B$55,'Gem types'!$G$3:$G$55),LOOKUP(B55,'Gem types'!$I$3:$I$29,'Gem types'!$J$3:$J$29))))</f>
      </c>
      <c r="L55" s="205">
        <f t="shared" si="3"/>
      </c>
    </row>
    <row r="56" spans="1:12" s="204" customFormat="1" ht="30.75" customHeight="1">
      <c r="A56" s="203">
        <f ca="1" t="shared" si="4"/>
        <v>74</v>
      </c>
      <c r="B56" s="203">
        <f ca="1" t="shared" si="5"/>
        <v>22</v>
      </c>
      <c r="D56" s="208">
        <f t="shared" si="6"/>
      </c>
      <c r="E56" s="99">
        <f>IF(D56="","",LOOKUP(A56,'Jewelry calculations'!$A$3:$A$186,'Jewelry calculations'!$B$3:$B$186))</f>
      </c>
      <c r="F56" s="101">
        <f>IF(E56="","",LOOKUP(A56,'Jewelry calculations'!$A$3:$A$186,'Jewelry calculations'!$M$3:$M$186))</f>
      </c>
      <c r="G56" s="204">
        <f>IF(E56="","",LOOKUP(A56,'Jewelry calculations'!$A$3:$A$186,'Jewelry calculations'!$F$3:$F$186))</f>
      </c>
      <c r="H56" s="205">
        <f ca="1">IF(E56="","",RANDBETWEEN(LOOKUP(A56,'Jewelry calculations'!$A$3:$A$186,'Jewelry calculations'!$G$3:$G$186),LOOKUP(A56,'Jewelry calculations'!$A$3:$A$186,'Jewelry calculations'!$H$3:$H$186)))</f>
      </c>
      <c r="I56" s="203">
        <f ca="1">IF(E56="","",RANDBETWEEN(LOOKUP(A56,'Jewelry calculations'!$A$3:$A$186,'Jewelry calculations'!$D$3:$D$186),LOOKUP(A56,'Jewelry calculations'!$A$3:$A$186,'Jewelry calculations'!$E$3:$E$186)))</f>
      </c>
      <c r="J56" s="207">
        <f ca="1">IF(OR(I56=0,I56=""),"",LOOKUP(RANDBETWEEN(1,53),'Gem types'!$B$3:$B$55,'Gem types'!$C$3:$C$55))</f>
      </c>
      <c r="K56" s="205">
        <f>IF(OR(I56=0,I56=""),"",SUM(LOOKUP(LOOKUP(A56,'Jewelry calculations'!$A$3:$A$186,'Jewelry calculations'!$I$3:$I$186),'Gem types'!$B$3:$B$55,'Gem types'!$G$3:$G$55),PRODUCT(LOOKUP(LOOKUP(A56,'Jewelry calculations'!$A$3:$A$186,'Jewelry calculations'!$I$3:$I$186),'Gem types'!$B$3:$B$55,'Gem types'!$G$3:$G$55),LOOKUP(B56,'Gem types'!$I$3:$I$29,'Gem types'!$J$3:$J$29))))</f>
      </c>
      <c r="L56" s="205">
        <f t="shared" si="3"/>
      </c>
    </row>
    <row r="57" spans="1:12" s="204" customFormat="1" ht="30.75" customHeight="1">
      <c r="A57" s="203">
        <f ca="1" t="shared" si="4"/>
        <v>10</v>
      </c>
      <c r="B57" s="203">
        <f ca="1" t="shared" si="5"/>
        <v>11</v>
      </c>
      <c r="D57" s="208">
        <f t="shared" si="6"/>
      </c>
      <c r="E57" s="99">
        <f>IF(D57="","",LOOKUP(A57,'Jewelry calculations'!$A$3:$A$186,'Jewelry calculations'!$B$3:$B$186))</f>
      </c>
      <c r="F57" s="101">
        <f>IF(E57="","",LOOKUP(A57,'Jewelry calculations'!$A$3:$A$186,'Jewelry calculations'!$M$3:$M$186))</f>
      </c>
      <c r="G57" s="204">
        <f>IF(E57="","",LOOKUP(A57,'Jewelry calculations'!$A$3:$A$186,'Jewelry calculations'!$F$3:$F$186))</f>
      </c>
      <c r="H57" s="205">
        <f ca="1">IF(E57="","",RANDBETWEEN(LOOKUP(A57,'Jewelry calculations'!$A$3:$A$186,'Jewelry calculations'!$G$3:$G$186),LOOKUP(A57,'Jewelry calculations'!$A$3:$A$186,'Jewelry calculations'!$H$3:$H$186)))</f>
      </c>
      <c r="I57" s="203">
        <f ca="1">IF(E57="","",RANDBETWEEN(LOOKUP(A57,'Jewelry calculations'!$A$3:$A$186,'Jewelry calculations'!$D$3:$D$186),LOOKUP(A57,'Jewelry calculations'!$A$3:$A$186,'Jewelry calculations'!$E$3:$E$186)))</f>
      </c>
      <c r="J57" s="207">
        <f ca="1">IF(OR(I57=0,I57=""),"",LOOKUP(RANDBETWEEN(1,53),'Gem types'!$B$3:$B$55,'Gem types'!$C$3:$C$55))</f>
      </c>
      <c r="K57" s="205">
        <f>IF(OR(I57=0,I57=""),"",SUM(LOOKUP(LOOKUP(A57,'Jewelry calculations'!$A$3:$A$186,'Jewelry calculations'!$I$3:$I$186),'Gem types'!$B$3:$B$55,'Gem types'!$G$3:$G$55),PRODUCT(LOOKUP(LOOKUP(A57,'Jewelry calculations'!$A$3:$A$186,'Jewelry calculations'!$I$3:$I$186),'Gem types'!$B$3:$B$55,'Gem types'!$G$3:$G$55),LOOKUP(B57,'Gem types'!$I$3:$I$29,'Gem types'!$J$3:$J$29))))</f>
      </c>
      <c r="L57" s="205">
        <f t="shared" si="3"/>
      </c>
    </row>
    <row r="58" spans="1:12" s="204" customFormat="1" ht="30.75" customHeight="1">
      <c r="A58" s="203">
        <f ca="1" t="shared" si="4"/>
        <v>115</v>
      </c>
      <c r="B58" s="203">
        <f ca="1" t="shared" si="5"/>
        <v>8</v>
      </c>
      <c r="D58" s="208">
        <f t="shared" si="6"/>
      </c>
      <c r="E58" s="99">
        <f>IF(D58="","",LOOKUP(A58,'Jewelry calculations'!$A$3:$A$186,'Jewelry calculations'!$B$3:$B$186))</f>
      </c>
      <c r="F58" s="101">
        <f>IF(E58="","",LOOKUP(A58,'Jewelry calculations'!$A$3:$A$186,'Jewelry calculations'!$M$3:$M$186))</f>
      </c>
      <c r="G58" s="204">
        <f>IF(E58="","",LOOKUP(A58,'Jewelry calculations'!$A$3:$A$186,'Jewelry calculations'!$F$3:$F$186))</f>
      </c>
      <c r="H58" s="205">
        <f ca="1">IF(E58="","",RANDBETWEEN(LOOKUP(A58,'Jewelry calculations'!$A$3:$A$186,'Jewelry calculations'!$G$3:$G$186),LOOKUP(A58,'Jewelry calculations'!$A$3:$A$186,'Jewelry calculations'!$H$3:$H$186)))</f>
      </c>
      <c r="I58" s="203">
        <f ca="1">IF(E58="","",RANDBETWEEN(LOOKUP(A58,'Jewelry calculations'!$A$3:$A$186,'Jewelry calculations'!$D$3:$D$186),LOOKUP(A58,'Jewelry calculations'!$A$3:$A$186,'Jewelry calculations'!$E$3:$E$186)))</f>
      </c>
      <c r="J58" s="207">
        <f ca="1">IF(OR(I58=0,I58=""),"",LOOKUP(RANDBETWEEN(1,53),'Gem types'!$B$3:$B$55,'Gem types'!$C$3:$C$55))</f>
      </c>
      <c r="K58" s="205">
        <f>IF(OR(I58=0,I58=""),"",SUM(LOOKUP(LOOKUP(A58,'Jewelry calculations'!$A$3:$A$186,'Jewelry calculations'!$I$3:$I$186),'Gem types'!$B$3:$B$55,'Gem types'!$G$3:$G$55),PRODUCT(LOOKUP(LOOKUP(A58,'Jewelry calculations'!$A$3:$A$186,'Jewelry calculations'!$I$3:$I$186),'Gem types'!$B$3:$B$55,'Gem types'!$G$3:$G$55),LOOKUP(B58,'Gem types'!$I$3:$I$29,'Gem types'!$J$3:$J$29))))</f>
      </c>
      <c r="L58" s="205">
        <f t="shared" si="3"/>
      </c>
    </row>
    <row r="59" spans="1:12" s="204" customFormat="1" ht="30.75" customHeight="1">
      <c r="A59" s="203">
        <f ca="1" t="shared" si="4"/>
        <v>12</v>
      </c>
      <c r="B59" s="203">
        <f ca="1" t="shared" si="5"/>
        <v>9</v>
      </c>
      <c r="D59" s="208">
        <f t="shared" si="6"/>
      </c>
      <c r="E59" s="99">
        <f>IF(D59="","",LOOKUP(A59,'Jewelry calculations'!$A$3:$A$186,'Jewelry calculations'!$B$3:$B$186))</f>
      </c>
      <c r="F59" s="101">
        <f>IF(E59="","",LOOKUP(A59,'Jewelry calculations'!$A$3:$A$186,'Jewelry calculations'!$M$3:$M$186))</f>
      </c>
      <c r="G59" s="204">
        <f>IF(E59="","",LOOKUP(A59,'Jewelry calculations'!$A$3:$A$186,'Jewelry calculations'!$F$3:$F$186))</f>
      </c>
      <c r="H59" s="205">
        <f ca="1">IF(E59="","",RANDBETWEEN(LOOKUP(A59,'Jewelry calculations'!$A$3:$A$186,'Jewelry calculations'!$G$3:$G$186),LOOKUP(A59,'Jewelry calculations'!$A$3:$A$186,'Jewelry calculations'!$H$3:$H$186)))</f>
      </c>
      <c r="I59" s="203">
        <f ca="1">IF(E59="","",RANDBETWEEN(LOOKUP(A59,'Jewelry calculations'!$A$3:$A$186,'Jewelry calculations'!$D$3:$D$186),LOOKUP(A59,'Jewelry calculations'!$A$3:$A$186,'Jewelry calculations'!$E$3:$E$186)))</f>
      </c>
      <c r="J59" s="207">
        <f ca="1">IF(OR(I59=0,I59=""),"",LOOKUP(RANDBETWEEN(1,53),'Gem types'!$B$3:$B$55,'Gem types'!$C$3:$C$55))</f>
      </c>
      <c r="K59" s="205">
        <f>IF(OR(I59=0,I59=""),"",SUM(LOOKUP(LOOKUP(A59,'Jewelry calculations'!$A$3:$A$186,'Jewelry calculations'!$I$3:$I$186),'Gem types'!$B$3:$B$55,'Gem types'!$G$3:$G$55),PRODUCT(LOOKUP(LOOKUP(A59,'Jewelry calculations'!$A$3:$A$186,'Jewelry calculations'!$I$3:$I$186),'Gem types'!$B$3:$B$55,'Gem types'!$G$3:$G$55),LOOKUP(B59,'Gem types'!$I$3:$I$29,'Gem types'!$J$3:$J$29))))</f>
      </c>
      <c r="L59" s="205">
        <f t="shared" si="3"/>
      </c>
    </row>
    <row r="60" spans="1:12" s="204" customFormat="1" ht="30.75" customHeight="1">
      <c r="A60" s="203">
        <f ca="1" t="shared" si="4"/>
        <v>3</v>
      </c>
      <c r="B60" s="203">
        <f ca="1" t="shared" si="5"/>
        <v>5</v>
      </c>
      <c r="D60" s="208">
        <f t="shared" si="6"/>
      </c>
      <c r="E60" s="99">
        <f>IF(D60="","",LOOKUP(A60,'Jewelry calculations'!$A$3:$A$186,'Jewelry calculations'!$B$3:$B$186))</f>
      </c>
      <c r="F60" s="101">
        <f>IF(E60="","",LOOKUP(A60,'Jewelry calculations'!$A$3:$A$186,'Jewelry calculations'!$M$3:$M$186))</f>
      </c>
      <c r="G60" s="204">
        <f>IF(E60="","",LOOKUP(A60,'Jewelry calculations'!$A$3:$A$186,'Jewelry calculations'!$F$3:$F$186))</f>
      </c>
      <c r="H60" s="205">
        <f ca="1">IF(E60="","",RANDBETWEEN(LOOKUP(A60,'Jewelry calculations'!$A$3:$A$186,'Jewelry calculations'!$G$3:$G$186),LOOKUP(A60,'Jewelry calculations'!$A$3:$A$186,'Jewelry calculations'!$H$3:$H$186)))</f>
      </c>
      <c r="I60" s="203">
        <f ca="1">IF(E60="","",RANDBETWEEN(LOOKUP(A60,'Jewelry calculations'!$A$3:$A$186,'Jewelry calculations'!$D$3:$D$186),LOOKUP(A60,'Jewelry calculations'!$A$3:$A$186,'Jewelry calculations'!$E$3:$E$186)))</f>
      </c>
      <c r="J60" s="207">
        <f ca="1">IF(OR(I60=0,I60=""),"",LOOKUP(RANDBETWEEN(1,53),'Gem types'!$B$3:$B$55,'Gem types'!$C$3:$C$55))</f>
      </c>
      <c r="K60" s="205">
        <f>IF(OR(I60=0,I60=""),"",SUM(LOOKUP(LOOKUP(A60,'Jewelry calculations'!$A$3:$A$186,'Jewelry calculations'!$I$3:$I$186),'Gem types'!$B$3:$B$55,'Gem types'!$G$3:$G$55),PRODUCT(LOOKUP(LOOKUP(A60,'Jewelry calculations'!$A$3:$A$186,'Jewelry calculations'!$I$3:$I$186),'Gem types'!$B$3:$B$55,'Gem types'!$G$3:$G$55),LOOKUP(B60,'Gem types'!$I$3:$I$29,'Gem types'!$J$3:$J$29))))</f>
      </c>
      <c r="L60" s="205">
        <f t="shared" si="3"/>
      </c>
    </row>
    <row r="61" spans="1:12" s="204" customFormat="1" ht="30.75" customHeight="1">
      <c r="A61" s="203">
        <f ca="1" t="shared" si="4"/>
        <v>154</v>
      </c>
      <c r="B61" s="203">
        <f ca="1" t="shared" si="5"/>
        <v>16</v>
      </c>
      <c r="D61" s="208">
        <f t="shared" si="6"/>
      </c>
      <c r="E61" s="99">
        <f>IF(D61="","",LOOKUP(A61,'Jewelry calculations'!$A$3:$A$186,'Jewelry calculations'!$B$3:$B$186))</f>
      </c>
      <c r="F61" s="101">
        <f>IF(E61="","",LOOKUP(A61,'Jewelry calculations'!$A$3:$A$186,'Jewelry calculations'!$M$3:$M$186))</f>
      </c>
      <c r="G61" s="204">
        <f>IF(E61="","",LOOKUP(A61,'Jewelry calculations'!$A$3:$A$186,'Jewelry calculations'!$F$3:$F$186))</f>
      </c>
      <c r="H61" s="205">
        <f ca="1">IF(E61="","",RANDBETWEEN(LOOKUP(A61,'Jewelry calculations'!$A$3:$A$186,'Jewelry calculations'!$G$3:$G$186),LOOKUP(A61,'Jewelry calculations'!$A$3:$A$186,'Jewelry calculations'!$H$3:$H$186)))</f>
      </c>
      <c r="I61" s="203">
        <f ca="1">IF(E61="","",RANDBETWEEN(LOOKUP(A61,'Jewelry calculations'!$A$3:$A$186,'Jewelry calculations'!$D$3:$D$186),LOOKUP(A61,'Jewelry calculations'!$A$3:$A$186,'Jewelry calculations'!$E$3:$E$186)))</f>
      </c>
      <c r="J61" s="207">
        <f ca="1">IF(OR(I61=0,I61=""),"",LOOKUP(RANDBETWEEN(1,53),'Gem types'!$B$3:$B$55,'Gem types'!$C$3:$C$55))</f>
      </c>
      <c r="K61" s="205">
        <f>IF(OR(I61=0,I61=""),"",SUM(LOOKUP(LOOKUP(A61,'Jewelry calculations'!$A$3:$A$186,'Jewelry calculations'!$I$3:$I$186),'Gem types'!$B$3:$B$55,'Gem types'!$G$3:$G$55),PRODUCT(LOOKUP(LOOKUP(A61,'Jewelry calculations'!$A$3:$A$186,'Jewelry calculations'!$I$3:$I$186),'Gem types'!$B$3:$B$55,'Gem types'!$G$3:$G$55),LOOKUP(B61,'Gem types'!$I$3:$I$29,'Gem types'!$J$3:$J$29))))</f>
      </c>
      <c r="L61" s="205">
        <f t="shared" si="3"/>
      </c>
    </row>
    <row r="62" spans="1:12" s="204" customFormat="1" ht="30.75" customHeight="1">
      <c r="A62" s="203">
        <f ca="1" t="shared" si="4"/>
        <v>38</v>
      </c>
      <c r="B62" s="203">
        <f ca="1" t="shared" si="5"/>
        <v>5</v>
      </c>
      <c r="D62" s="208">
        <f t="shared" si="6"/>
      </c>
      <c r="E62" s="99">
        <f>IF(D62="","",LOOKUP(A62,'Jewelry calculations'!$A$3:$A$186,'Jewelry calculations'!$B$3:$B$186))</f>
      </c>
      <c r="F62" s="101">
        <f>IF(E62="","",LOOKUP(A62,'Jewelry calculations'!$A$3:$A$186,'Jewelry calculations'!$M$3:$M$186))</f>
      </c>
      <c r="G62" s="204">
        <f>IF(E62="","",LOOKUP(A62,'Jewelry calculations'!$A$3:$A$186,'Jewelry calculations'!$F$3:$F$186))</f>
      </c>
      <c r="H62" s="205">
        <f ca="1">IF(E62="","",RANDBETWEEN(LOOKUP(A62,'Jewelry calculations'!$A$3:$A$186,'Jewelry calculations'!$G$3:$G$186),LOOKUP(A62,'Jewelry calculations'!$A$3:$A$186,'Jewelry calculations'!$H$3:$H$186)))</f>
      </c>
      <c r="I62" s="203">
        <f ca="1">IF(E62="","",RANDBETWEEN(LOOKUP(A62,'Jewelry calculations'!$A$3:$A$186,'Jewelry calculations'!$D$3:$D$186),LOOKUP(A62,'Jewelry calculations'!$A$3:$A$186,'Jewelry calculations'!$E$3:$E$186)))</f>
      </c>
      <c r="J62" s="207">
        <f ca="1">IF(OR(I62=0,I62=""),"",LOOKUP(RANDBETWEEN(1,53),'Gem types'!$B$3:$B$55,'Gem types'!$C$3:$C$55))</f>
      </c>
      <c r="K62" s="205">
        <f>IF(OR(I62=0,I62=""),"",SUM(LOOKUP(LOOKUP(A62,'Jewelry calculations'!$A$3:$A$186,'Jewelry calculations'!$I$3:$I$186),'Gem types'!$B$3:$B$55,'Gem types'!$G$3:$G$55),PRODUCT(LOOKUP(LOOKUP(A62,'Jewelry calculations'!$A$3:$A$186,'Jewelry calculations'!$I$3:$I$186),'Gem types'!$B$3:$B$55,'Gem types'!$G$3:$G$55),LOOKUP(B62,'Gem types'!$I$3:$I$29,'Gem types'!$J$3:$J$29))))</f>
      </c>
      <c r="L62" s="205">
        <f t="shared" si="3"/>
      </c>
    </row>
    <row r="63" spans="1:12" s="204" customFormat="1" ht="30.75" customHeight="1">
      <c r="A63" s="203">
        <f ca="1" t="shared" si="4"/>
        <v>139</v>
      </c>
      <c r="B63" s="203">
        <f ca="1" t="shared" si="5"/>
        <v>13</v>
      </c>
      <c r="D63" s="208">
        <f t="shared" si="6"/>
      </c>
      <c r="E63" s="99">
        <f>IF(D63="","",LOOKUP(A63,'Jewelry calculations'!$A$3:$A$186,'Jewelry calculations'!$B$3:$B$186))</f>
      </c>
      <c r="F63" s="101">
        <f>IF(E63="","",LOOKUP(A63,'Jewelry calculations'!$A$3:$A$186,'Jewelry calculations'!$M$3:$M$186))</f>
      </c>
      <c r="G63" s="204">
        <f>IF(E63="","",LOOKUP(A63,'Jewelry calculations'!$A$3:$A$186,'Jewelry calculations'!$F$3:$F$186))</f>
      </c>
      <c r="H63" s="205">
        <f ca="1">IF(E63="","",RANDBETWEEN(LOOKUP(A63,'Jewelry calculations'!$A$3:$A$186,'Jewelry calculations'!$G$3:$G$186),LOOKUP(A63,'Jewelry calculations'!$A$3:$A$186,'Jewelry calculations'!$H$3:$H$186)))</f>
      </c>
      <c r="I63" s="203">
        <f ca="1">IF(E63="","",RANDBETWEEN(LOOKUP(A63,'Jewelry calculations'!$A$3:$A$186,'Jewelry calculations'!$D$3:$D$186),LOOKUP(A63,'Jewelry calculations'!$A$3:$A$186,'Jewelry calculations'!$E$3:$E$186)))</f>
      </c>
      <c r="J63" s="207">
        <f ca="1">IF(OR(I63=0,I63=""),"",LOOKUP(RANDBETWEEN(1,53),'Gem types'!$B$3:$B$55,'Gem types'!$C$3:$C$55))</f>
      </c>
      <c r="K63" s="205">
        <f>IF(OR(I63=0,I63=""),"",SUM(LOOKUP(LOOKUP(A63,'Jewelry calculations'!$A$3:$A$186,'Jewelry calculations'!$I$3:$I$186),'Gem types'!$B$3:$B$55,'Gem types'!$G$3:$G$55),PRODUCT(LOOKUP(LOOKUP(A63,'Jewelry calculations'!$A$3:$A$186,'Jewelry calculations'!$I$3:$I$186),'Gem types'!$B$3:$B$55,'Gem types'!$G$3:$G$55),LOOKUP(B63,'Gem types'!$I$3:$I$29,'Gem types'!$J$3:$J$29))))</f>
      </c>
      <c r="L63" s="205">
        <f t="shared" si="3"/>
      </c>
    </row>
    <row r="64" spans="1:12" s="204" customFormat="1" ht="30.75" customHeight="1">
      <c r="A64" s="203">
        <f ca="1" t="shared" si="4"/>
        <v>156</v>
      </c>
      <c r="B64" s="203">
        <f ca="1" t="shared" si="5"/>
        <v>16</v>
      </c>
      <c r="D64" s="208">
        <f t="shared" si="6"/>
      </c>
      <c r="E64" s="99">
        <f>IF(D64="","",LOOKUP(A64,'Jewelry calculations'!$A$3:$A$186,'Jewelry calculations'!$B$3:$B$186))</f>
      </c>
      <c r="F64" s="101">
        <f>IF(E64="","",LOOKUP(A64,'Jewelry calculations'!$A$3:$A$186,'Jewelry calculations'!$M$3:$M$186))</f>
      </c>
      <c r="G64" s="204">
        <f>IF(E64="","",LOOKUP(A64,'Jewelry calculations'!$A$3:$A$186,'Jewelry calculations'!$F$3:$F$186))</f>
      </c>
      <c r="H64" s="205">
        <f ca="1">IF(E64="","",RANDBETWEEN(LOOKUP(A64,'Jewelry calculations'!$A$3:$A$186,'Jewelry calculations'!$G$3:$G$186),LOOKUP(A64,'Jewelry calculations'!$A$3:$A$186,'Jewelry calculations'!$H$3:$H$186)))</f>
      </c>
      <c r="I64" s="203">
        <f ca="1">IF(E64="","",RANDBETWEEN(LOOKUP(A64,'Jewelry calculations'!$A$3:$A$186,'Jewelry calculations'!$D$3:$D$186),LOOKUP(A64,'Jewelry calculations'!$A$3:$A$186,'Jewelry calculations'!$E$3:$E$186)))</f>
      </c>
      <c r="J64" s="207">
        <f ca="1">IF(OR(I64=0,I64=""),"",LOOKUP(RANDBETWEEN(1,53),'Gem types'!$B$3:$B$55,'Gem types'!$C$3:$C$55))</f>
      </c>
      <c r="K64" s="205">
        <f>IF(OR(I64=0,I64=""),"",SUM(LOOKUP(LOOKUP(A64,'Jewelry calculations'!$A$3:$A$186,'Jewelry calculations'!$I$3:$I$186),'Gem types'!$B$3:$B$55,'Gem types'!$G$3:$G$55),PRODUCT(LOOKUP(LOOKUP(A64,'Jewelry calculations'!$A$3:$A$186,'Jewelry calculations'!$I$3:$I$186),'Gem types'!$B$3:$B$55,'Gem types'!$G$3:$G$55),LOOKUP(B64,'Gem types'!$I$3:$I$29,'Gem types'!$J$3:$J$29))))</f>
      </c>
      <c r="L64" s="205">
        <f t="shared" si="3"/>
      </c>
    </row>
    <row r="65" spans="1:12" s="204" customFormat="1" ht="30.75" customHeight="1">
      <c r="A65" s="203">
        <f ca="1" t="shared" si="4"/>
        <v>79</v>
      </c>
      <c r="B65" s="203">
        <f ca="1" t="shared" si="5"/>
        <v>17</v>
      </c>
      <c r="D65" s="208">
        <f t="shared" si="6"/>
      </c>
      <c r="E65" s="99">
        <f>IF(D65="","",LOOKUP(A65,'Jewelry calculations'!$A$3:$A$186,'Jewelry calculations'!$B$3:$B$186))</f>
      </c>
      <c r="F65" s="101">
        <f>IF(E65="","",LOOKUP(A65,'Jewelry calculations'!$A$3:$A$186,'Jewelry calculations'!$M$3:$M$186))</f>
      </c>
      <c r="G65" s="204">
        <f>IF(E65="","",LOOKUP(A65,'Jewelry calculations'!$A$3:$A$186,'Jewelry calculations'!$F$3:$F$186))</f>
      </c>
      <c r="H65" s="205">
        <f ca="1">IF(E65="","",RANDBETWEEN(LOOKUP(A65,'Jewelry calculations'!$A$3:$A$186,'Jewelry calculations'!$G$3:$G$186),LOOKUP(A65,'Jewelry calculations'!$A$3:$A$186,'Jewelry calculations'!$H$3:$H$186)))</f>
      </c>
      <c r="I65" s="203">
        <f ca="1">IF(E65="","",RANDBETWEEN(LOOKUP(A65,'Jewelry calculations'!$A$3:$A$186,'Jewelry calculations'!$D$3:$D$186),LOOKUP(A65,'Jewelry calculations'!$A$3:$A$186,'Jewelry calculations'!$E$3:$E$186)))</f>
      </c>
      <c r="J65" s="207">
        <f ca="1">IF(OR(I65=0,I65=""),"",LOOKUP(RANDBETWEEN(1,53),'Gem types'!$B$3:$B$55,'Gem types'!$C$3:$C$55))</f>
      </c>
      <c r="K65" s="205">
        <f>IF(OR(I65=0,I65=""),"",SUM(LOOKUP(LOOKUP(A65,'Jewelry calculations'!$A$3:$A$186,'Jewelry calculations'!$I$3:$I$186),'Gem types'!$B$3:$B$55,'Gem types'!$G$3:$G$55),PRODUCT(LOOKUP(LOOKUP(A65,'Jewelry calculations'!$A$3:$A$186,'Jewelry calculations'!$I$3:$I$186),'Gem types'!$B$3:$B$55,'Gem types'!$G$3:$G$55),LOOKUP(B65,'Gem types'!$I$3:$I$29,'Gem types'!$J$3:$J$29))))</f>
      </c>
      <c r="L65" s="205">
        <f t="shared" si="3"/>
      </c>
    </row>
    <row r="66" spans="1:12" s="204" customFormat="1" ht="30.75" customHeight="1">
      <c r="A66" s="203">
        <f ca="1" t="shared" si="4"/>
        <v>45</v>
      </c>
      <c r="B66" s="203">
        <f ca="1" t="shared" si="5"/>
        <v>25</v>
      </c>
      <c r="D66" s="208">
        <f t="shared" si="6"/>
      </c>
      <c r="E66" s="99">
        <f>IF(D66="","",LOOKUP(A66,'Jewelry calculations'!$A$3:$A$186,'Jewelry calculations'!$B$3:$B$186))</f>
      </c>
      <c r="F66" s="101">
        <f>IF(E66="","",LOOKUP(A66,'Jewelry calculations'!$A$3:$A$186,'Jewelry calculations'!$M$3:$M$186))</f>
      </c>
      <c r="G66" s="204">
        <f>IF(E66="","",LOOKUP(A66,'Jewelry calculations'!$A$3:$A$186,'Jewelry calculations'!$F$3:$F$186))</f>
      </c>
      <c r="H66" s="205">
        <f ca="1">IF(E66="","",RANDBETWEEN(LOOKUP(A66,'Jewelry calculations'!$A$3:$A$186,'Jewelry calculations'!$G$3:$G$186),LOOKUP(A66,'Jewelry calculations'!$A$3:$A$186,'Jewelry calculations'!$H$3:$H$186)))</f>
      </c>
      <c r="I66" s="203">
        <f ca="1">IF(E66="","",RANDBETWEEN(LOOKUP(A66,'Jewelry calculations'!$A$3:$A$186,'Jewelry calculations'!$D$3:$D$186),LOOKUP(A66,'Jewelry calculations'!$A$3:$A$186,'Jewelry calculations'!$E$3:$E$186)))</f>
      </c>
      <c r="J66" s="207">
        <f ca="1">IF(OR(I66=0,I66=""),"",LOOKUP(RANDBETWEEN(1,53),'Gem types'!$B$3:$B$55,'Gem types'!$C$3:$C$55))</f>
      </c>
      <c r="K66" s="205">
        <f>IF(OR(I66=0,I66=""),"",SUM(LOOKUP(LOOKUP(A66,'Jewelry calculations'!$A$3:$A$186,'Jewelry calculations'!$I$3:$I$186),'Gem types'!$B$3:$B$55,'Gem types'!$G$3:$G$55),PRODUCT(LOOKUP(LOOKUP(A66,'Jewelry calculations'!$A$3:$A$186,'Jewelry calculations'!$I$3:$I$186),'Gem types'!$B$3:$B$55,'Gem types'!$G$3:$G$55),LOOKUP(B66,'Gem types'!$I$3:$I$29,'Gem types'!$J$3:$J$29))))</f>
      </c>
      <c r="L66" s="205">
        <f t="shared" si="3"/>
      </c>
    </row>
    <row r="67" spans="1:12" s="204" customFormat="1" ht="30.75" customHeight="1">
      <c r="A67" s="203">
        <f ca="1" t="shared" si="4"/>
        <v>120</v>
      </c>
      <c r="B67" s="203">
        <f ca="1" t="shared" si="5"/>
        <v>20</v>
      </c>
      <c r="D67" s="208">
        <f t="shared" si="6"/>
      </c>
      <c r="E67" s="99">
        <f>IF(D67="","",LOOKUP(A67,'Jewelry calculations'!$A$3:$A$186,'Jewelry calculations'!$B$3:$B$186))</f>
      </c>
      <c r="F67" s="101">
        <f>IF(E67="","",LOOKUP(A67,'Jewelry calculations'!$A$3:$A$186,'Jewelry calculations'!$M$3:$M$186))</f>
      </c>
      <c r="G67" s="204">
        <f>IF(E67="","",LOOKUP(A67,'Jewelry calculations'!$A$3:$A$186,'Jewelry calculations'!$F$3:$F$186))</f>
      </c>
      <c r="H67" s="205">
        <f ca="1">IF(E67="","",RANDBETWEEN(LOOKUP(A67,'Jewelry calculations'!$A$3:$A$186,'Jewelry calculations'!$G$3:$G$186),LOOKUP(A67,'Jewelry calculations'!$A$3:$A$186,'Jewelry calculations'!$H$3:$H$186)))</f>
      </c>
      <c r="I67" s="203">
        <f ca="1">IF(E67="","",RANDBETWEEN(LOOKUP(A67,'Jewelry calculations'!$A$3:$A$186,'Jewelry calculations'!$D$3:$D$186),LOOKUP(A67,'Jewelry calculations'!$A$3:$A$186,'Jewelry calculations'!$E$3:$E$186)))</f>
      </c>
      <c r="J67" s="207">
        <f ca="1">IF(OR(I67=0,I67=""),"",LOOKUP(RANDBETWEEN(1,53),'Gem types'!$B$3:$B$55,'Gem types'!$C$3:$C$55))</f>
      </c>
      <c r="K67" s="205">
        <f>IF(OR(I67=0,I67=""),"",SUM(LOOKUP(LOOKUP(A67,'Jewelry calculations'!$A$3:$A$186,'Jewelry calculations'!$I$3:$I$186),'Gem types'!$B$3:$B$55,'Gem types'!$G$3:$G$55),PRODUCT(LOOKUP(LOOKUP(A67,'Jewelry calculations'!$A$3:$A$186,'Jewelry calculations'!$I$3:$I$186),'Gem types'!$B$3:$B$55,'Gem types'!$G$3:$G$55),LOOKUP(B67,'Gem types'!$I$3:$I$29,'Gem types'!$J$3:$J$29))))</f>
      </c>
      <c r="L67" s="205">
        <f t="shared" si="3"/>
      </c>
    </row>
    <row r="68" spans="1:12" s="204" customFormat="1" ht="30.75" customHeight="1">
      <c r="A68" s="203">
        <f aca="true" ca="1" t="shared" si="7" ref="A68:A104">RANDBETWEEN(1,184)</f>
        <v>182</v>
      </c>
      <c r="B68" s="203">
        <f aca="true" ca="1" t="shared" si="8" ref="B68:B104">RANDBETWEEN(1,27)</f>
        <v>4</v>
      </c>
      <c r="D68" s="208">
        <f t="shared" si="6"/>
      </c>
      <c r="E68" s="99">
        <f>IF(D68="","",LOOKUP(A68,'Jewelry calculations'!$A$3:$A$186,'Jewelry calculations'!$B$3:$B$186))</f>
      </c>
      <c r="F68" s="101">
        <f>IF(E68="","",LOOKUP(A68,'Jewelry calculations'!$A$3:$A$186,'Jewelry calculations'!$M$3:$M$186))</f>
      </c>
      <c r="G68" s="204">
        <f>IF(E68="","",LOOKUP(A68,'Jewelry calculations'!$A$3:$A$186,'Jewelry calculations'!$F$3:$F$186))</f>
      </c>
      <c r="H68" s="205">
        <f ca="1">IF(E68="","",RANDBETWEEN(LOOKUP(A68,'Jewelry calculations'!$A$3:$A$186,'Jewelry calculations'!$G$3:$G$186),LOOKUP(A68,'Jewelry calculations'!$A$3:$A$186,'Jewelry calculations'!$H$3:$H$186)))</f>
      </c>
      <c r="I68" s="203">
        <f ca="1">IF(E68="","",RANDBETWEEN(LOOKUP(A68,'Jewelry calculations'!$A$3:$A$186,'Jewelry calculations'!$D$3:$D$186),LOOKUP(A68,'Jewelry calculations'!$A$3:$A$186,'Jewelry calculations'!$E$3:$E$186)))</f>
      </c>
      <c r="J68" s="207">
        <f ca="1">IF(OR(I68=0,I68=""),"",LOOKUP(RANDBETWEEN(1,53),'Gem types'!$B$3:$B$55,'Gem types'!$C$3:$C$55))</f>
      </c>
      <c r="K68" s="205">
        <f>IF(OR(I68=0,I68=""),"",SUM(LOOKUP(LOOKUP(A68,'Jewelry calculations'!$A$3:$A$186,'Jewelry calculations'!$I$3:$I$186),'Gem types'!$B$3:$B$55,'Gem types'!$G$3:$G$55),PRODUCT(LOOKUP(LOOKUP(A68,'Jewelry calculations'!$A$3:$A$186,'Jewelry calculations'!$I$3:$I$186),'Gem types'!$B$3:$B$55,'Gem types'!$G$3:$G$55),LOOKUP(B68,'Gem types'!$I$3:$I$29,'Gem types'!$J$3:$J$29))))</f>
      </c>
      <c r="L68" s="205">
        <f t="shared" si="3"/>
      </c>
    </row>
    <row r="69" spans="1:12" s="204" customFormat="1" ht="30.75" customHeight="1">
      <c r="A69" s="203">
        <f ca="1" t="shared" si="7"/>
        <v>154</v>
      </c>
      <c r="B69" s="203">
        <f ca="1" t="shared" si="8"/>
        <v>20</v>
      </c>
      <c r="D69" s="208">
        <f aca="true" t="shared" si="9" ref="D69:D104">IF($G$1&gt;D68,SUM(D68+1),"")</f>
      </c>
      <c r="E69" s="99">
        <f>IF(D69="","",LOOKUP(A69,'Jewelry calculations'!$A$3:$A$186,'Jewelry calculations'!$B$3:$B$186))</f>
      </c>
      <c r="F69" s="101">
        <f>IF(E69="","",LOOKUP(A69,'Jewelry calculations'!$A$3:$A$186,'Jewelry calculations'!$M$3:$M$186))</f>
      </c>
      <c r="G69" s="204">
        <f>IF(E69="","",LOOKUP(A69,'Jewelry calculations'!$A$3:$A$186,'Jewelry calculations'!$F$3:$F$186))</f>
      </c>
      <c r="H69" s="205">
        <f ca="1">IF(E69="","",RANDBETWEEN(LOOKUP(A69,'Jewelry calculations'!$A$3:$A$186,'Jewelry calculations'!$G$3:$G$186),LOOKUP(A69,'Jewelry calculations'!$A$3:$A$186,'Jewelry calculations'!$H$3:$H$186)))</f>
      </c>
      <c r="I69" s="203">
        <f ca="1">IF(E69="","",RANDBETWEEN(LOOKUP(A69,'Jewelry calculations'!$A$3:$A$186,'Jewelry calculations'!$D$3:$D$186),LOOKUP(A69,'Jewelry calculations'!$A$3:$A$186,'Jewelry calculations'!$E$3:$E$186)))</f>
      </c>
      <c r="J69" s="207">
        <f ca="1">IF(OR(I69=0,I69=""),"",LOOKUP(RANDBETWEEN(1,53),'Gem types'!$B$3:$B$55,'Gem types'!$C$3:$C$55))</f>
      </c>
      <c r="K69" s="205">
        <f>IF(OR(I69=0,I69=""),"",SUM(LOOKUP(LOOKUP(A69,'Jewelry calculations'!$A$3:$A$186,'Jewelry calculations'!$I$3:$I$186),'Gem types'!$B$3:$B$55,'Gem types'!$G$3:$G$55),PRODUCT(LOOKUP(LOOKUP(A69,'Jewelry calculations'!$A$3:$A$186,'Jewelry calculations'!$I$3:$I$186),'Gem types'!$B$3:$B$55,'Gem types'!$G$3:$G$55),LOOKUP(B69,'Gem types'!$I$3:$I$29,'Gem types'!$J$3:$J$29))))</f>
      </c>
      <c r="L69" s="205">
        <f aca="true" t="shared" si="10" ref="L69:L104">IF(E69="","",SUM(H69,K69))</f>
      </c>
    </row>
    <row r="70" spans="1:12" s="204" customFormat="1" ht="30.75" customHeight="1">
      <c r="A70" s="203">
        <f ca="1" t="shared" si="7"/>
        <v>81</v>
      </c>
      <c r="B70" s="203">
        <f ca="1" t="shared" si="8"/>
        <v>10</v>
      </c>
      <c r="D70" s="208">
        <f t="shared" si="9"/>
      </c>
      <c r="E70" s="99">
        <f>IF(D70="","",LOOKUP(A70,'Jewelry calculations'!$A$3:$A$186,'Jewelry calculations'!$B$3:$B$186))</f>
      </c>
      <c r="F70" s="101">
        <f>IF(E70="","",LOOKUP(A70,'Jewelry calculations'!$A$3:$A$186,'Jewelry calculations'!$M$3:$M$186))</f>
      </c>
      <c r="G70" s="204">
        <f>IF(E70="","",LOOKUP(A70,'Jewelry calculations'!$A$3:$A$186,'Jewelry calculations'!$F$3:$F$186))</f>
      </c>
      <c r="H70" s="205">
        <f ca="1">IF(E70="","",RANDBETWEEN(LOOKUP(A70,'Jewelry calculations'!$A$3:$A$186,'Jewelry calculations'!$G$3:$G$186),LOOKUP(A70,'Jewelry calculations'!$A$3:$A$186,'Jewelry calculations'!$H$3:$H$186)))</f>
      </c>
      <c r="I70" s="203">
        <f ca="1">IF(E70="","",RANDBETWEEN(LOOKUP(A70,'Jewelry calculations'!$A$3:$A$186,'Jewelry calculations'!$D$3:$D$186),LOOKUP(A70,'Jewelry calculations'!$A$3:$A$186,'Jewelry calculations'!$E$3:$E$186)))</f>
      </c>
      <c r="J70" s="207">
        <f ca="1">IF(OR(I70=0,I70=""),"",LOOKUP(RANDBETWEEN(1,53),'Gem types'!$B$3:$B$55,'Gem types'!$C$3:$C$55))</f>
      </c>
      <c r="K70" s="205">
        <f>IF(OR(I70=0,I70=""),"",SUM(LOOKUP(LOOKUP(A70,'Jewelry calculations'!$A$3:$A$186,'Jewelry calculations'!$I$3:$I$186),'Gem types'!$B$3:$B$55,'Gem types'!$G$3:$G$55),PRODUCT(LOOKUP(LOOKUP(A70,'Jewelry calculations'!$A$3:$A$186,'Jewelry calculations'!$I$3:$I$186),'Gem types'!$B$3:$B$55,'Gem types'!$G$3:$G$55),LOOKUP(B70,'Gem types'!$I$3:$I$29,'Gem types'!$J$3:$J$29))))</f>
      </c>
      <c r="L70" s="205">
        <f t="shared" si="10"/>
      </c>
    </row>
    <row r="71" spans="1:12" s="204" customFormat="1" ht="30.75" customHeight="1">
      <c r="A71" s="203">
        <f ca="1" t="shared" si="7"/>
        <v>46</v>
      </c>
      <c r="B71" s="203">
        <f ca="1" t="shared" si="8"/>
        <v>4</v>
      </c>
      <c r="D71" s="208">
        <f t="shared" si="9"/>
      </c>
      <c r="E71" s="99">
        <f>IF(D71="","",LOOKUP(A71,'Jewelry calculations'!$A$3:$A$186,'Jewelry calculations'!$B$3:$B$186))</f>
      </c>
      <c r="F71" s="101">
        <f>IF(E71="","",LOOKUP(A71,'Jewelry calculations'!$A$3:$A$186,'Jewelry calculations'!$M$3:$M$186))</f>
      </c>
      <c r="G71" s="204">
        <f>IF(E71="","",LOOKUP(A71,'Jewelry calculations'!$A$3:$A$186,'Jewelry calculations'!$F$3:$F$186))</f>
      </c>
      <c r="H71" s="205">
        <f ca="1">IF(E71="","",RANDBETWEEN(LOOKUP(A71,'Jewelry calculations'!$A$3:$A$186,'Jewelry calculations'!$G$3:$G$186),LOOKUP(A71,'Jewelry calculations'!$A$3:$A$186,'Jewelry calculations'!$H$3:$H$186)))</f>
      </c>
      <c r="I71" s="203">
        <f ca="1">IF(E71="","",RANDBETWEEN(LOOKUP(A71,'Jewelry calculations'!$A$3:$A$186,'Jewelry calculations'!$D$3:$D$186),LOOKUP(A71,'Jewelry calculations'!$A$3:$A$186,'Jewelry calculations'!$E$3:$E$186)))</f>
      </c>
      <c r="J71" s="207">
        <f ca="1">IF(OR(I71=0,I71=""),"",LOOKUP(RANDBETWEEN(1,53),'Gem types'!$B$3:$B$55,'Gem types'!$C$3:$C$55))</f>
      </c>
      <c r="K71" s="205">
        <f>IF(OR(I71=0,I71=""),"",SUM(LOOKUP(LOOKUP(A71,'Jewelry calculations'!$A$3:$A$186,'Jewelry calculations'!$I$3:$I$186),'Gem types'!$B$3:$B$55,'Gem types'!$G$3:$G$55),PRODUCT(LOOKUP(LOOKUP(A71,'Jewelry calculations'!$A$3:$A$186,'Jewelry calculations'!$I$3:$I$186),'Gem types'!$B$3:$B$55,'Gem types'!$G$3:$G$55),LOOKUP(B71,'Gem types'!$I$3:$I$29,'Gem types'!$J$3:$J$29))))</f>
      </c>
      <c r="L71" s="205">
        <f t="shared" si="10"/>
      </c>
    </row>
    <row r="72" spans="1:12" s="204" customFormat="1" ht="30.75" customHeight="1">
      <c r="A72" s="203">
        <f ca="1" t="shared" si="7"/>
        <v>7</v>
      </c>
      <c r="B72" s="203">
        <f ca="1" t="shared" si="8"/>
        <v>23</v>
      </c>
      <c r="D72" s="208">
        <f t="shared" si="9"/>
      </c>
      <c r="E72" s="99">
        <f>IF(D72="","",LOOKUP(A72,'Jewelry calculations'!$A$3:$A$186,'Jewelry calculations'!$B$3:$B$186))</f>
      </c>
      <c r="F72" s="101">
        <f>IF(E72="","",LOOKUP(A72,'Jewelry calculations'!$A$3:$A$186,'Jewelry calculations'!$M$3:$M$186))</f>
      </c>
      <c r="G72" s="204">
        <f>IF(E72="","",LOOKUP(A72,'Jewelry calculations'!$A$3:$A$186,'Jewelry calculations'!$F$3:$F$186))</f>
      </c>
      <c r="H72" s="205">
        <f ca="1">IF(E72="","",RANDBETWEEN(LOOKUP(A72,'Jewelry calculations'!$A$3:$A$186,'Jewelry calculations'!$G$3:$G$186),LOOKUP(A72,'Jewelry calculations'!$A$3:$A$186,'Jewelry calculations'!$H$3:$H$186)))</f>
      </c>
      <c r="I72" s="203">
        <f ca="1">IF(E72="","",RANDBETWEEN(LOOKUP(A72,'Jewelry calculations'!$A$3:$A$186,'Jewelry calculations'!$D$3:$D$186),LOOKUP(A72,'Jewelry calculations'!$A$3:$A$186,'Jewelry calculations'!$E$3:$E$186)))</f>
      </c>
      <c r="J72" s="207">
        <f ca="1">IF(OR(I72=0,I72=""),"",LOOKUP(RANDBETWEEN(1,53),'Gem types'!$B$3:$B$55,'Gem types'!$C$3:$C$55))</f>
      </c>
      <c r="K72" s="205">
        <f>IF(OR(I72=0,I72=""),"",SUM(LOOKUP(LOOKUP(A72,'Jewelry calculations'!$A$3:$A$186,'Jewelry calculations'!$I$3:$I$186),'Gem types'!$B$3:$B$55,'Gem types'!$G$3:$G$55),PRODUCT(LOOKUP(LOOKUP(A72,'Jewelry calculations'!$A$3:$A$186,'Jewelry calculations'!$I$3:$I$186),'Gem types'!$B$3:$B$55,'Gem types'!$G$3:$G$55),LOOKUP(B72,'Gem types'!$I$3:$I$29,'Gem types'!$J$3:$J$29))))</f>
      </c>
      <c r="L72" s="205">
        <f t="shared" si="10"/>
      </c>
    </row>
    <row r="73" spans="1:12" s="204" customFormat="1" ht="30.75" customHeight="1">
      <c r="A73" s="203">
        <f ca="1" t="shared" si="7"/>
        <v>78</v>
      </c>
      <c r="B73" s="203">
        <f ca="1" t="shared" si="8"/>
        <v>2</v>
      </c>
      <c r="D73" s="208">
        <f t="shared" si="9"/>
      </c>
      <c r="E73" s="99">
        <f>IF(D73="","",LOOKUP(A73,'Jewelry calculations'!$A$3:$A$186,'Jewelry calculations'!$B$3:$B$186))</f>
      </c>
      <c r="F73" s="101">
        <f>IF(E73="","",LOOKUP(A73,'Jewelry calculations'!$A$3:$A$186,'Jewelry calculations'!$M$3:$M$186))</f>
      </c>
      <c r="G73" s="204">
        <f>IF(E73="","",LOOKUP(A73,'Jewelry calculations'!$A$3:$A$186,'Jewelry calculations'!$F$3:$F$186))</f>
      </c>
      <c r="H73" s="205">
        <f ca="1">IF(E73="","",RANDBETWEEN(LOOKUP(A73,'Jewelry calculations'!$A$3:$A$186,'Jewelry calculations'!$G$3:$G$186),LOOKUP(A73,'Jewelry calculations'!$A$3:$A$186,'Jewelry calculations'!$H$3:$H$186)))</f>
      </c>
      <c r="I73" s="203">
        <f ca="1">IF(E73="","",RANDBETWEEN(LOOKUP(A73,'Jewelry calculations'!$A$3:$A$186,'Jewelry calculations'!$D$3:$D$186),LOOKUP(A73,'Jewelry calculations'!$A$3:$A$186,'Jewelry calculations'!$E$3:$E$186)))</f>
      </c>
      <c r="J73" s="207">
        <f ca="1">IF(OR(I73=0,I73=""),"",LOOKUP(RANDBETWEEN(1,53),'Gem types'!$B$3:$B$55,'Gem types'!$C$3:$C$55))</f>
      </c>
      <c r="K73" s="205">
        <f>IF(OR(I73=0,I73=""),"",SUM(LOOKUP(LOOKUP(A73,'Jewelry calculations'!$A$3:$A$186,'Jewelry calculations'!$I$3:$I$186),'Gem types'!$B$3:$B$55,'Gem types'!$G$3:$G$55),PRODUCT(LOOKUP(LOOKUP(A73,'Jewelry calculations'!$A$3:$A$186,'Jewelry calculations'!$I$3:$I$186),'Gem types'!$B$3:$B$55,'Gem types'!$G$3:$G$55),LOOKUP(B73,'Gem types'!$I$3:$I$29,'Gem types'!$J$3:$J$29))))</f>
      </c>
      <c r="L73" s="205">
        <f t="shared" si="10"/>
      </c>
    </row>
    <row r="74" spans="1:12" s="204" customFormat="1" ht="30.75" customHeight="1">
      <c r="A74" s="203">
        <f ca="1" t="shared" si="7"/>
        <v>22</v>
      </c>
      <c r="B74" s="203">
        <f ca="1" t="shared" si="8"/>
        <v>18</v>
      </c>
      <c r="D74" s="208">
        <f t="shared" si="9"/>
      </c>
      <c r="E74" s="99">
        <f>IF(D74="","",LOOKUP(A74,'Jewelry calculations'!$A$3:$A$186,'Jewelry calculations'!$B$3:$B$186))</f>
      </c>
      <c r="F74" s="101">
        <f>IF(E74="","",LOOKUP(A74,'Jewelry calculations'!$A$3:$A$186,'Jewelry calculations'!$M$3:$M$186))</f>
      </c>
      <c r="G74" s="204">
        <f>IF(E74="","",LOOKUP(A74,'Jewelry calculations'!$A$3:$A$186,'Jewelry calculations'!$F$3:$F$186))</f>
      </c>
      <c r="H74" s="205">
        <f ca="1">IF(E74="","",RANDBETWEEN(LOOKUP(A74,'Jewelry calculations'!$A$3:$A$186,'Jewelry calculations'!$G$3:$G$186),LOOKUP(A74,'Jewelry calculations'!$A$3:$A$186,'Jewelry calculations'!$H$3:$H$186)))</f>
      </c>
      <c r="I74" s="203">
        <f ca="1">IF(E74="","",RANDBETWEEN(LOOKUP(A74,'Jewelry calculations'!$A$3:$A$186,'Jewelry calculations'!$D$3:$D$186),LOOKUP(A74,'Jewelry calculations'!$A$3:$A$186,'Jewelry calculations'!$E$3:$E$186)))</f>
      </c>
      <c r="J74" s="207">
        <f ca="1">IF(OR(I74=0,I74=""),"",LOOKUP(RANDBETWEEN(1,53),'Gem types'!$B$3:$B$55,'Gem types'!$C$3:$C$55))</f>
      </c>
      <c r="K74" s="205">
        <f>IF(OR(I74=0,I74=""),"",SUM(LOOKUP(LOOKUP(A74,'Jewelry calculations'!$A$3:$A$186,'Jewelry calculations'!$I$3:$I$186),'Gem types'!$B$3:$B$55,'Gem types'!$G$3:$G$55),PRODUCT(LOOKUP(LOOKUP(A74,'Jewelry calculations'!$A$3:$A$186,'Jewelry calculations'!$I$3:$I$186),'Gem types'!$B$3:$B$55,'Gem types'!$G$3:$G$55),LOOKUP(B74,'Gem types'!$I$3:$I$29,'Gem types'!$J$3:$J$29))))</f>
      </c>
      <c r="L74" s="205">
        <f t="shared" si="10"/>
      </c>
    </row>
    <row r="75" spans="1:12" s="204" customFormat="1" ht="30.75" customHeight="1">
      <c r="A75" s="203">
        <f ca="1" t="shared" si="7"/>
        <v>102</v>
      </c>
      <c r="B75" s="203">
        <f ca="1" t="shared" si="8"/>
        <v>23</v>
      </c>
      <c r="D75" s="208">
        <f t="shared" si="9"/>
      </c>
      <c r="E75" s="99">
        <f>IF(D75="","",LOOKUP(A75,'Jewelry calculations'!$A$3:$A$186,'Jewelry calculations'!$B$3:$B$186))</f>
      </c>
      <c r="F75" s="101">
        <f>IF(E75="","",LOOKUP(A75,'Jewelry calculations'!$A$3:$A$186,'Jewelry calculations'!$M$3:$M$186))</f>
      </c>
      <c r="G75" s="204">
        <f>IF(E75="","",LOOKUP(A75,'Jewelry calculations'!$A$3:$A$186,'Jewelry calculations'!$F$3:$F$186))</f>
      </c>
      <c r="H75" s="205">
        <f ca="1">IF(E75="","",RANDBETWEEN(LOOKUP(A75,'Jewelry calculations'!$A$3:$A$186,'Jewelry calculations'!$G$3:$G$186),LOOKUP(A75,'Jewelry calculations'!$A$3:$A$186,'Jewelry calculations'!$H$3:$H$186)))</f>
      </c>
      <c r="I75" s="203">
        <f ca="1">IF(E75="","",RANDBETWEEN(LOOKUP(A75,'Jewelry calculations'!$A$3:$A$186,'Jewelry calculations'!$D$3:$D$186),LOOKUP(A75,'Jewelry calculations'!$A$3:$A$186,'Jewelry calculations'!$E$3:$E$186)))</f>
      </c>
      <c r="J75" s="207">
        <f ca="1">IF(OR(I75=0,I75=""),"",LOOKUP(RANDBETWEEN(1,53),'Gem types'!$B$3:$B$55,'Gem types'!$C$3:$C$55))</f>
      </c>
      <c r="K75" s="205">
        <f>IF(OR(I75=0,I75=""),"",SUM(LOOKUP(LOOKUP(A75,'Jewelry calculations'!$A$3:$A$186,'Jewelry calculations'!$I$3:$I$186),'Gem types'!$B$3:$B$55,'Gem types'!$G$3:$G$55),PRODUCT(LOOKUP(LOOKUP(A75,'Jewelry calculations'!$A$3:$A$186,'Jewelry calculations'!$I$3:$I$186),'Gem types'!$B$3:$B$55,'Gem types'!$G$3:$G$55),LOOKUP(B75,'Gem types'!$I$3:$I$29,'Gem types'!$J$3:$J$29))))</f>
      </c>
      <c r="L75" s="205">
        <f t="shared" si="10"/>
      </c>
    </row>
    <row r="76" spans="1:12" s="204" customFormat="1" ht="30.75" customHeight="1">
      <c r="A76" s="203">
        <f ca="1" t="shared" si="7"/>
        <v>64</v>
      </c>
      <c r="B76" s="203">
        <f ca="1" t="shared" si="8"/>
        <v>4</v>
      </c>
      <c r="D76" s="208">
        <f t="shared" si="9"/>
      </c>
      <c r="E76" s="99">
        <f>IF(D76="","",LOOKUP(A76,'Jewelry calculations'!$A$3:$A$186,'Jewelry calculations'!$B$3:$B$186))</f>
      </c>
      <c r="F76" s="101">
        <f>IF(E76="","",LOOKUP(A76,'Jewelry calculations'!$A$3:$A$186,'Jewelry calculations'!$M$3:$M$186))</f>
      </c>
      <c r="G76" s="204">
        <f>IF(E76="","",LOOKUP(A76,'Jewelry calculations'!$A$3:$A$186,'Jewelry calculations'!$F$3:$F$186))</f>
      </c>
      <c r="H76" s="205">
        <f ca="1">IF(E76="","",RANDBETWEEN(LOOKUP(A76,'Jewelry calculations'!$A$3:$A$186,'Jewelry calculations'!$G$3:$G$186),LOOKUP(A76,'Jewelry calculations'!$A$3:$A$186,'Jewelry calculations'!$H$3:$H$186)))</f>
      </c>
      <c r="I76" s="203">
        <f ca="1">IF(E76="","",RANDBETWEEN(LOOKUP(A76,'Jewelry calculations'!$A$3:$A$186,'Jewelry calculations'!$D$3:$D$186),LOOKUP(A76,'Jewelry calculations'!$A$3:$A$186,'Jewelry calculations'!$E$3:$E$186)))</f>
      </c>
      <c r="J76" s="207">
        <f ca="1">IF(OR(I76=0,I76=""),"",LOOKUP(RANDBETWEEN(1,53),'Gem types'!$B$3:$B$55,'Gem types'!$C$3:$C$55))</f>
      </c>
      <c r="K76" s="205">
        <f>IF(OR(I76=0,I76=""),"",SUM(LOOKUP(LOOKUP(A76,'Jewelry calculations'!$A$3:$A$186,'Jewelry calculations'!$I$3:$I$186),'Gem types'!$B$3:$B$55,'Gem types'!$G$3:$G$55),PRODUCT(LOOKUP(LOOKUP(A76,'Jewelry calculations'!$A$3:$A$186,'Jewelry calculations'!$I$3:$I$186),'Gem types'!$B$3:$B$55,'Gem types'!$G$3:$G$55),LOOKUP(B76,'Gem types'!$I$3:$I$29,'Gem types'!$J$3:$J$29))))</f>
      </c>
      <c r="L76" s="205">
        <f t="shared" si="10"/>
      </c>
    </row>
    <row r="77" spans="1:12" s="204" customFormat="1" ht="30.75" customHeight="1">
      <c r="A77" s="203">
        <f ca="1" t="shared" si="7"/>
        <v>120</v>
      </c>
      <c r="B77" s="203">
        <f ca="1" t="shared" si="8"/>
        <v>6</v>
      </c>
      <c r="D77" s="208">
        <f t="shared" si="9"/>
      </c>
      <c r="E77" s="99">
        <f>IF(D77="","",LOOKUP(A77,'Jewelry calculations'!$A$3:$A$186,'Jewelry calculations'!$B$3:$B$186))</f>
      </c>
      <c r="F77" s="101">
        <f>IF(E77="","",LOOKUP(A77,'Jewelry calculations'!$A$3:$A$186,'Jewelry calculations'!$M$3:$M$186))</f>
      </c>
      <c r="G77" s="204">
        <f>IF(E77="","",LOOKUP(A77,'Jewelry calculations'!$A$3:$A$186,'Jewelry calculations'!$F$3:$F$186))</f>
      </c>
      <c r="H77" s="205">
        <f ca="1">IF(E77="","",RANDBETWEEN(LOOKUP(A77,'Jewelry calculations'!$A$3:$A$186,'Jewelry calculations'!$G$3:$G$186),LOOKUP(A77,'Jewelry calculations'!$A$3:$A$186,'Jewelry calculations'!$H$3:$H$186)))</f>
      </c>
      <c r="I77" s="203">
        <f ca="1">IF(E77="","",RANDBETWEEN(LOOKUP(A77,'Jewelry calculations'!$A$3:$A$186,'Jewelry calculations'!$D$3:$D$186),LOOKUP(A77,'Jewelry calculations'!$A$3:$A$186,'Jewelry calculations'!$E$3:$E$186)))</f>
      </c>
      <c r="J77" s="207">
        <f ca="1">IF(OR(I77=0,I77=""),"",LOOKUP(RANDBETWEEN(1,53),'Gem types'!$B$3:$B$55,'Gem types'!$C$3:$C$55))</f>
      </c>
      <c r="K77" s="205">
        <f>IF(OR(I77=0,I77=""),"",SUM(LOOKUP(LOOKUP(A77,'Jewelry calculations'!$A$3:$A$186,'Jewelry calculations'!$I$3:$I$186),'Gem types'!$B$3:$B$55,'Gem types'!$G$3:$G$55),PRODUCT(LOOKUP(LOOKUP(A77,'Jewelry calculations'!$A$3:$A$186,'Jewelry calculations'!$I$3:$I$186),'Gem types'!$B$3:$B$55,'Gem types'!$G$3:$G$55),LOOKUP(B77,'Gem types'!$I$3:$I$29,'Gem types'!$J$3:$J$29))))</f>
      </c>
      <c r="L77" s="205">
        <f t="shared" si="10"/>
      </c>
    </row>
    <row r="78" spans="1:12" s="204" customFormat="1" ht="30.75" customHeight="1">
      <c r="A78" s="203">
        <f ca="1" t="shared" si="7"/>
        <v>130</v>
      </c>
      <c r="B78" s="203">
        <f ca="1" t="shared" si="8"/>
        <v>13</v>
      </c>
      <c r="D78" s="208">
        <f t="shared" si="9"/>
      </c>
      <c r="E78" s="99">
        <f>IF(D78="","",LOOKUP(A78,'Jewelry calculations'!$A$3:$A$186,'Jewelry calculations'!$B$3:$B$186))</f>
      </c>
      <c r="F78" s="101">
        <f>IF(E78="","",LOOKUP(A78,'Jewelry calculations'!$A$3:$A$186,'Jewelry calculations'!$M$3:$M$186))</f>
      </c>
      <c r="G78" s="204">
        <f>IF(E78="","",LOOKUP(A78,'Jewelry calculations'!$A$3:$A$186,'Jewelry calculations'!$F$3:$F$186))</f>
      </c>
      <c r="H78" s="205">
        <f ca="1">IF(E78="","",RANDBETWEEN(LOOKUP(A78,'Jewelry calculations'!$A$3:$A$186,'Jewelry calculations'!$G$3:$G$186),LOOKUP(A78,'Jewelry calculations'!$A$3:$A$186,'Jewelry calculations'!$H$3:$H$186)))</f>
      </c>
      <c r="I78" s="203">
        <f ca="1">IF(E78="","",RANDBETWEEN(LOOKUP(A78,'Jewelry calculations'!$A$3:$A$186,'Jewelry calculations'!$D$3:$D$186),LOOKUP(A78,'Jewelry calculations'!$A$3:$A$186,'Jewelry calculations'!$E$3:$E$186)))</f>
      </c>
      <c r="J78" s="207">
        <f ca="1">IF(OR(I78=0,I78=""),"",LOOKUP(RANDBETWEEN(1,53),'Gem types'!$B$3:$B$55,'Gem types'!$C$3:$C$55))</f>
      </c>
      <c r="K78" s="205">
        <f>IF(OR(I78=0,I78=""),"",SUM(LOOKUP(LOOKUP(A78,'Jewelry calculations'!$A$3:$A$186,'Jewelry calculations'!$I$3:$I$186),'Gem types'!$B$3:$B$55,'Gem types'!$G$3:$G$55),PRODUCT(LOOKUP(LOOKUP(A78,'Jewelry calculations'!$A$3:$A$186,'Jewelry calculations'!$I$3:$I$186),'Gem types'!$B$3:$B$55,'Gem types'!$G$3:$G$55),LOOKUP(B78,'Gem types'!$I$3:$I$29,'Gem types'!$J$3:$J$29))))</f>
      </c>
      <c r="L78" s="205">
        <f t="shared" si="10"/>
      </c>
    </row>
    <row r="79" spans="1:12" s="204" customFormat="1" ht="30.75" customHeight="1">
      <c r="A79" s="203">
        <f ca="1" t="shared" si="7"/>
        <v>155</v>
      </c>
      <c r="B79" s="203">
        <f ca="1" t="shared" si="8"/>
        <v>15</v>
      </c>
      <c r="D79" s="208">
        <f t="shared" si="9"/>
      </c>
      <c r="E79" s="99">
        <f>IF(D79="","",LOOKUP(A79,'Jewelry calculations'!$A$3:$A$186,'Jewelry calculations'!$B$3:$B$186))</f>
      </c>
      <c r="F79" s="101">
        <f>IF(E79="","",LOOKUP(A79,'Jewelry calculations'!$A$3:$A$186,'Jewelry calculations'!$M$3:$M$186))</f>
      </c>
      <c r="G79" s="204">
        <f>IF(E79="","",LOOKUP(A79,'Jewelry calculations'!$A$3:$A$186,'Jewelry calculations'!$F$3:$F$186))</f>
      </c>
      <c r="H79" s="205">
        <f ca="1">IF(E79="","",RANDBETWEEN(LOOKUP(A79,'Jewelry calculations'!$A$3:$A$186,'Jewelry calculations'!$G$3:$G$186),LOOKUP(A79,'Jewelry calculations'!$A$3:$A$186,'Jewelry calculations'!$H$3:$H$186)))</f>
      </c>
      <c r="I79" s="203">
        <f ca="1">IF(E79="","",RANDBETWEEN(LOOKUP(A79,'Jewelry calculations'!$A$3:$A$186,'Jewelry calculations'!$D$3:$D$186),LOOKUP(A79,'Jewelry calculations'!$A$3:$A$186,'Jewelry calculations'!$E$3:$E$186)))</f>
      </c>
      <c r="J79" s="207">
        <f ca="1">IF(OR(I79=0,I79=""),"",LOOKUP(RANDBETWEEN(1,53),'Gem types'!$B$3:$B$55,'Gem types'!$C$3:$C$55))</f>
      </c>
      <c r="K79" s="205">
        <f>IF(OR(I79=0,I79=""),"",SUM(LOOKUP(LOOKUP(A79,'Jewelry calculations'!$A$3:$A$186,'Jewelry calculations'!$I$3:$I$186),'Gem types'!$B$3:$B$55,'Gem types'!$G$3:$G$55),PRODUCT(LOOKUP(LOOKUP(A79,'Jewelry calculations'!$A$3:$A$186,'Jewelry calculations'!$I$3:$I$186),'Gem types'!$B$3:$B$55,'Gem types'!$G$3:$G$55),LOOKUP(B79,'Gem types'!$I$3:$I$29,'Gem types'!$J$3:$J$29))))</f>
      </c>
      <c r="L79" s="205">
        <f t="shared" si="10"/>
      </c>
    </row>
    <row r="80" spans="1:12" s="204" customFormat="1" ht="30.75" customHeight="1">
      <c r="A80" s="203">
        <f ca="1" t="shared" si="7"/>
        <v>163</v>
      </c>
      <c r="B80" s="203">
        <f ca="1" t="shared" si="8"/>
        <v>22</v>
      </c>
      <c r="D80" s="208">
        <f t="shared" si="9"/>
      </c>
      <c r="E80" s="99">
        <f>IF(D80="","",LOOKUP(A80,'Jewelry calculations'!$A$3:$A$186,'Jewelry calculations'!$B$3:$B$186))</f>
      </c>
      <c r="F80" s="101">
        <f>IF(E80="","",LOOKUP(A80,'Jewelry calculations'!$A$3:$A$186,'Jewelry calculations'!$M$3:$M$186))</f>
      </c>
      <c r="G80" s="204">
        <f>IF(E80="","",LOOKUP(A80,'Jewelry calculations'!$A$3:$A$186,'Jewelry calculations'!$F$3:$F$186))</f>
      </c>
      <c r="H80" s="205">
        <f ca="1">IF(E80="","",RANDBETWEEN(LOOKUP(A80,'Jewelry calculations'!$A$3:$A$186,'Jewelry calculations'!$G$3:$G$186),LOOKUP(A80,'Jewelry calculations'!$A$3:$A$186,'Jewelry calculations'!$H$3:$H$186)))</f>
      </c>
      <c r="I80" s="203">
        <f ca="1">IF(E80="","",RANDBETWEEN(LOOKUP(A80,'Jewelry calculations'!$A$3:$A$186,'Jewelry calculations'!$D$3:$D$186),LOOKUP(A80,'Jewelry calculations'!$A$3:$A$186,'Jewelry calculations'!$E$3:$E$186)))</f>
      </c>
      <c r="J80" s="207">
        <f ca="1">IF(OR(I80=0,I80=""),"",LOOKUP(RANDBETWEEN(1,53),'Gem types'!$B$3:$B$55,'Gem types'!$C$3:$C$55))</f>
      </c>
      <c r="K80" s="205">
        <f>IF(OR(I80=0,I80=""),"",SUM(LOOKUP(LOOKUP(A80,'Jewelry calculations'!$A$3:$A$186,'Jewelry calculations'!$I$3:$I$186),'Gem types'!$B$3:$B$55,'Gem types'!$G$3:$G$55),PRODUCT(LOOKUP(LOOKUP(A80,'Jewelry calculations'!$A$3:$A$186,'Jewelry calculations'!$I$3:$I$186),'Gem types'!$B$3:$B$55,'Gem types'!$G$3:$G$55),LOOKUP(B80,'Gem types'!$I$3:$I$29,'Gem types'!$J$3:$J$29))))</f>
      </c>
      <c r="L80" s="205">
        <f t="shared" si="10"/>
      </c>
    </row>
    <row r="81" spans="1:12" s="204" customFormat="1" ht="30.75" customHeight="1">
      <c r="A81" s="203">
        <f ca="1" t="shared" si="7"/>
        <v>52</v>
      </c>
      <c r="B81" s="203">
        <f ca="1" t="shared" si="8"/>
        <v>5</v>
      </c>
      <c r="D81" s="208">
        <f t="shared" si="9"/>
      </c>
      <c r="E81" s="99">
        <f>IF(D81="","",LOOKUP(A81,'Jewelry calculations'!$A$3:$A$186,'Jewelry calculations'!$B$3:$B$186))</f>
      </c>
      <c r="F81" s="101">
        <f>IF(E81="","",LOOKUP(A81,'Jewelry calculations'!$A$3:$A$186,'Jewelry calculations'!$M$3:$M$186))</f>
      </c>
      <c r="G81" s="204">
        <f>IF(E81="","",LOOKUP(A81,'Jewelry calculations'!$A$3:$A$186,'Jewelry calculations'!$F$3:$F$186))</f>
      </c>
      <c r="H81" s="205">
        <f ca="1">IF(E81="","",RANDBETWEEN(LOOKUP(A81,'Jewelry calculations'!$A$3:$A$186,'Jewelry calculations'!$G$3:$G$186),LOOKUP(A81,'Jewelry calculations'!$A$3:$A$186,'Jewelry calculations'!$H$3:$H$186)))</f>
      </c>
      <c r="I81" s="203">
        <f ca="1">IF(E81="","",RANDBETWEEN(LOOKUP(A81,'Jewelry calculations'!$A$3:$A$186,'Jewelry calculations'!$D$3:$D$186),LOOKUP(A81,'Jewelry calculations'!$A$3:$A$186,'Jewelry calculations'!$E$3:$E$186)))</f>
      </c>
      <c r="J81" s="207">
        <f ca="1">IF(OR(I81=0,I81=""),"",LOOKUP(RANDBETWEEN(1,53),'Gem types'!$B$3:$B$55,'Gem types'!$C$3:$C$55))</f>
      </c>
      <c r="K81" s="205">
        <f>IF(OR(I81=0,I81=""),"",SUM(LOOKUP(LOOKUP(A81,'Jewelry calculations'!$A$3:$A$186,'Jewelry calculations'!$I$3:$I$186),'Gem types'!$B$3:$B$55,'Gem types'!$G$3:$G$55),PRODUCT(LOOKUP(LOOKUP(A81,'Jewelry calculations'!$A$3:$A$186,'Jewelry calculations'!$I$3:$I$186),'Gem types'!$B$3:$B$55,'Gem types'!$G$3:$G$55),LOOKUP(B81,'Gem types'!$I$3:$I$29,'Gem types'!$J$3:$J$29))))</f>
      </c>
      <c r="L81" s="205">
        <f t="shared" si="10"/>
      </c>
    </row>
    <row r="82" spans="1:12" s="204" customFormat="1" ht="30.75" customHeight="1">
      <c r="A82" s="203">
        <f ca="1" t="shared" si="7"/>
        <v>59</v>
      </c>
      <c r="B82" s="203">
        <f ca="1" t="shared" si="8"/>
        <v>26</v>
      </c>
      <c r="D82" s="208">
        <f t="shared" si="9"/>
      </c>
      <c r="E82" s="99">
        <f>IF(D82="","",LOOKUP(A82,'Jewelry calculations'!$A$3:$A$186,'Jewelry calculations'!$B$3:$B$186))</f>
      </c>
      <c r="F82" s="101">
        <f>IF(E82="","",LOOKUP(A82,'Jewelry calculations'!$A$3:$A$186,'Jewelry calculations'!$M$3:$M$186))</f>
      </c>
      <c r="G82" s="204">
        <f>IF(E82="","",LOOKUP(A82,'Jewelry calculations'!$A$3:$A$186,'Jewelry calculations'!$F$3:$F$186))</f>
      </c>
      <c r="H82" s="205">
        <f ca="1">IF(E82="","",RANDBETWEEN(LOOKUP(A82,'Jewelry calculations'!$A$3:$A$186,'Jewelry calculations'!$G$3:$G$186),LOOKUP(A82,'Jewelry calculations'!$A$3:$A$186,'Jewelry calculations'!$H$3:$H$186)))</f>
      </c>
      <c r="I82" s="203">
        <f ca="1">IF(E82="","",RANDBETWEEN(LOOKUP(A82,'Jewelry calculations'!$A$3:$A$186,'Jewelry calculations'!$D$3:$D$186),LOOKUP(A82,'Jewelry calculations'!$A$3:$A$186,'Jewelry calculations'!$E$3:$E$186)))</f>
      </c>
      <c r="J82" s="207">
        <f ca="1">IF(OR(I82=0,I82=""),"",LOOKUP(RANDBETWEEN(1,53),'Gem types'!$B$3:$B$55,'Gem types'!$C$3:$C$55))</f>
      </c>
      <c r="K82" s="205">
        <f>IF(OR(I82=0,I82=""),"",SUM(LOOKUP(LOOKUP(A82,'Jewelry calculations'!$A$3:$A$186,'Jewelry calculations'!$I$3:$I$186),'Gem types'!$B$3:$B$55,'Gem types'!$G$3:$G$55),PRODUCT(LOOKUP(LOOKUP(A82,'Jewelry calculations'!$A$3:$A$186,'Jewelry calculations'!$I$3:$I$186),'Gem types'!$B$3:$B$55,'Gem types'!$G$3:$G$55),LOOKUP(B82,'Gem types'!$I$3:$I$29,'Gem types'!$J$3:$J$29))))</f>
      </c>
      <c r="L82" s="205">
        <f t="shared" si="10"/>
      </c>
    </row>
    <row r="83" spans="1:12" s="204" customFormat="1" ht="30.75" customHeight="1">
      <c r="A83" s="203">
        <f ca="1" t="shared" si="7"/>
        <v>31</v>
      </c>
      <c r="B83" s="203">
        <f ca="1" t="shared" si="8"/>
        <v>19</v>
      </c>
      <c r="D83" s="208">
        <f t="shared" si="9"/>
      </c>
      <c r="E83" s="99">
        <f>IF(D83="","",LOOKUP(A83,'Jewelry calculations'!$A$3:$A$186,'Jewelry calculations'!$B$3:$B$186))</f>
      </c>
      <c r="F83" s="101">
        <f>IF(E83="","",LOOKUP(A83,'Jewelry calculations'!$A$3:$A$186,'Jewelry calculations'!$M$3:$M$186))</f>
      </c>
      <c r="G83" s="204">
        <f>IF(E83="","",LOOKUP(A83,'Jewelry calculations'!$A$3:$A$186,'Jewelry calculations'!$F$3:$F$186))</f>
      </c>
      <c r="H83" s="205">
        <f ca="1">IF(E83="","",RANDBETWEEN(LOOKUP(A83,'Jewelry calculations'!$A$3:$A$186,'Jewelry calculations'!$G$3:$G$186),LOOKUP(A83,'Jewelry calculations'!$A$3:$A$186,'Jewelry calculations'!$H$3:$H$186)))</f>
      </c>
      <c r="I83" s="203">
        <f ca="1">IF(E83="","",RANDBETWEEN(LOOKUP(A83,'Jewelry calculations'!$A$3:$A$186,'Jewelry calculations'!$D$3:$D$186),LOOKUP(A83,'Jewelry calculations'!$A$3:$A$186,'Jewelry calculations'!$E$3:$E$186)))</f>
      </c>
      <c r="J83" s="207">
        <f ca="1">IF(OR(I83=0,I83=""),"",LOOKUP(RANDBETWEEN(1,53),'Gem types'!$B$3:$B$55,'Gem types'!$C$3:$C$55))</f>
      </c>
      <c r="K83" s="205">
        <f>IF(OR(I83=0,I83=""),"",SUM(LOOKUP(LOOKUP(A83,'Jewelry calculations'!$A$3:$A$186,'Jewelry calculations'!$I$3:$I$186),'Gem types'!$B$3:$B$55,'Gem types'!$G$3:$G$55),PRODUCT(LOOKUP(LOOKUP(A83,'Jewelry calculations'!$A$3:$A$186,'Jewelry calculations'!$I$3:$I$186),'Gem types'!$B$3:$B$55,'Gem types'!$G$3:$G$55),LOOKUP(B83,'Gem types'!$I$3:$I$29,'Gem types'!$J$3:$J$29))))</f>
      </c>
      <c r="L83" s="205">
        <f t="shared" si="10"/>
      </c>
    </row>
    <row r="84" spans="1:12" s="204" customFormat="1" ht="30.75" customHeight="1">
      <c r="A84" s="203">
        <f ca="1" t="shared" si="7"/>
        <v>121</v>
      </c>
      <c r="B84" s="203">
        <f ca="1" t="shared" si="8"/>
        <v>17</v>
      </c>
      <c r="D84" s="208">
        <f t="shared" si="9"/>
      </c>
      <c r="E84" s="99">
        <f>IF(D84="","",LOOKUP(A84,'Jewelry calculations'!$A$3:$A$186,'Jewelry calculations'!$B$3:$B$186))</f>
      </c>
      <c r="F84" s="101">
        <f>IF(E84="","",LOOKUP(A84,'Jewelry calculations'!$A$3:$A$186,'Jewelry calculations'!$M$3:$M$186))</f>
      </c>
      <c r="G84" s="204">
        <f>IF(E84="","",LOOKUP(A84,'Jewelry calculations'!$A$3:$A$186,'Jewelry calculations'!$F$3:$F$186))</f>
      </c>
      <c r="H84" s="205">
        <f ca="1">IF(E84="","",RANDBETWEEN(LOOKUP(A84,'Jewelry calculations'!$A$3:$A$186,'Jewelry calculations'!$G$3:$G$186),LOOKUP(A84,'Jewelry calculations'!$A$3:$A$186,'Jewelry calculations'!$H$3:$H$186)))</f>
      </c>
      <c r="I84" s="203">
        <f ca="1">IF(E84="","",RANDBETWEEN(LOOKUP(A84,'Jewelry calculations'!$A$3:$A$186,'Jewelry calculations'!$D$3:$D$186),LOOKUP(A84,'Jewelry calculations'!$A$3:$A$186,'Jewelry calculations'!$E$3:$E$186)))</f>
      </c>
      <c r="J84" s="207">
        <f ca="1">IF(OR(I84=0,I84=""),"",LOOKUP(RANDBETWEEN(1,53),'Gem types'!$B$3:$B$55,'Gem types'!$C$3:$C$55))</f>
      </c>
      <c r="K84" s="205">
        <f>IF(OR(I84=0,I84=""),"",SUM(LOOKUP(LOOKUP(A84,'Jewelry calculations'!$A$3:$A$186,'Jewelry calculations'!$I$3:$I$186),'Gem types'!$B$3:$B$55,'Gem types'!$G$3:$G$55),PRODUCT(LOOKUP(LOOKUP(A84,'Jewelry calculations'!$A$3:$A$186,'Jewelry calculations'!$I$3:$I$186),'Gem types'!$B$3:$B$55,'Gem types'!$G$3:$G$55),LOOKUP(B84,'Gem types'!$I$3:$I$29,'Gem types'!$J$3:$J$29))))</f>
      </c>
      <c r="L84" s="205">
        <f t="shared" si="10"/>
      </c>
    </row>
    <row r="85" spans="1:12" s="204" customFormat="1" ht="30.75" customHeight="1">
      <c r="A85" s="203">
        <f ca="1" t="shared" si="7"/>
        <v>175</v>
      </c>
      <c r="B85" s="203">
        <f ca="1" t="shared" si="8"/>
        <v>25</v>
      </c>
      <c r="D85" s="208">
        <f t="shared" si="9"/>
      </c>
      <c r="E85" s="99">
        <f>IF(D85="","",LOOKUP(A85,'Jewelry calculations'!$A$3:$A$186,'Jewelry calculations'!$B$3:$B$186))</f>
      </c>
      <c r="F85" s="101">
        <f>IF(E85="","",LOOKUP(A85,'Jewelry calculations'!$A$3:$A$186,'Jewelry calculations'!$M$3:$M$186))</f>
      </c>
      <c r="G85" s="204">
        <f>IF(E85="","",LOOKUP(A85,'Jewelry calculations'!$A$3:$A$186,'Jewelry calculations'!$F$3:$F$186))</f>
      </c>
      <c r="H85" s="205">
        <f ca="1">IF(E85="","",RANDBETWEEN(LOOKUP(A85,'Jewelry calculations'!$A$3:$A$186,'Jewelry calculations'!$G$3:$G$186),LOOKUP(A85,'Jewelry calculations'!$A$3:$A$186,'Jewelry calculations'!$H$3:$H$186)))</f>
      </c>
      <c r="I85" s="203">
        <f ca="1">IF(E85="","",RANDBETWEEN(LOOKUP(A85,'Jewelry calculations'!$A$3:$A$186,'Jewelry calculations'!$D$3:$D$186),LOOKUP(A85,'Jewelry calculations'!$A$3:$A$186,'Jewelry calculations'!$E$3:$E$186)))</f>
      </c>
      <c r="J85" s="207">
        <f ca="1">IF(OR(I85=0,I85=""),"",LOOKUP(RANDBETWEEN(1,53),'Gem types'!$B$3:$B$55,'Gem types'!$C$3:$C$55))</f>
      </c>
      <c r="K85" s="205">
        <f>IF(OR(I85=0,I85=""),"",SUM(LOOKUP(LOOKUP(A85,'Jewelry calculations'!$A$3:$A$186,'Jewelry calculations'!$I$3:$I$186),'Gem types'!$B$3:$B$55,'Gem types'!$G$3:$G$55),PRODUCT(LOOKUP(LOOKUP(A85,'Jewelry calculations'!$A$3:$A$186,'Jewelry calculations'!$I$3:$I$186),'Gem types'!$B$3:$B$55,'Gem types'!$G$3:$G$55),LOOKUP(B85,'Gem types'!$I$3:$I$29,'Gem types'!$J$3:$J$29))))</f>
      </c>
      <c r="L85" s="205">
        <f t="shared" si="10"/>
      </c>
    </row>
    <row r="86" spans="1:12" s="204" customFormat="1" ht="30.75" customHeight="1">
      <c r="A86" s="203">
        <f ca="1" t="shared" si="7"/>
        <v>138</v>
      </c>
      <c r="B86" s="203">
        <f ca="1" t="shared" si="8"/>
        <v>11</v>
      </c>
      <c r="D86" s="208">
        <f t="shared" si="9"/>
      </c>
      <c r="E86" s="99">
        <f>IF(D86="","",LOOKUP(A86,'Jewelry calculations'!$A$3:$A$186,'Jewelry calculations'!$B$3:$B$186))</f>
      </c>
      <c r="F86" s="101">
        <f>IF(E86="","",LOOKUP(A86,'Jewelry calculations'!$A$3:$A$186,'Jewelry calculations'!$M$3:$M$186))</f>
      </c>
      <c r="G86" s="204">
        <f>IF(E86="","",LOOKUP(A86,'Jewelry calculations'!$A$3:$A$186,'Jewelry calculations'!$F$3:$F$186))</f>
      </c>
      <c r="H86" s="205">
        <f ca="1">IF(E86="","",RANDBETWEEN(LOOKUP(A86,'Jewelry calculations'!$A$3:$A$186,'Jewelry calculations'!$G$3:$G$186),LOOKUP(A86,'Jewelry calculations'!$A$3:$A$186,'Jewelry calculations'!$H$3:$H$186)))</f>
      </c>
      <c r="I86" s="203">
        <f ca="1">IF(E86="","",RANDBETWEEN(LOOKUP(A86,'Jewelry calculations'!$A$3:$A$186,'Jewelry calculations'!$D$3:$D$186),LOOKUP(A86,'Jewelry calculations'!$A$3:$A$186,'Jewelry calculations'!$E$3:$E$186)))</f>
      </c>
      <c r="J86" s="207">
        <f ca="1">IF(OR(I86=0,I86=""),"",LOOKUP(RANDBETWEEN(1,53),'Gem types'!$B$3:$B$55,'Gem types'!$C$3:$C$55))</f>
      </c>
      <c r="K86" s="205">
        <f>IF(OR(I86=0,I86=""),"",SUM(LOOKUP(LOOKUP(A86,'Jewelry calculations'!$A$3:$A$186,'Jewelry calculations'!$I$3:$I$186),'Gem types'!$B$3:$B$55,'Gem types'!$G$3:$G$55),PRODUCT(LOOKUP(LOOKUP(A86,'Jewelry calculations'!$A$3:$A$186,'Jewelry calculations'!$I$3:$I$186),'Gem types'!$B$3:$B$55,'Gem types'!$G$3:$G$55),LOOKUP(B86,'Gem types'!$I$3:$I$29,'Gem types'!$J$3:$J$29))))</f>
      </c>
      <c r="L86" s="205">
        <f t="shared" si="10"/>
      </c>
    </row>
    <row r="87" spans="1:12" s="204" customFormat="1" ht="30.75" customHeight="1">
      <c r="A87" s="203">
        <f ca="1" t="shared" si="7"/>
        <v>140</v>
      </c>
      <c r="B87" s="203">
        <f ca="1" t="shared" si="8"/>
        <v>19</v>
      </c>
      <c r="D87" s="208">
        <f t="shared" si="9"/>
      </c>
      <c r="E87" s="99">
        <f>IF(D87="","",LOOKUP(A87,'Jewelry calculations'!$A$3:$A$186,'Jewelry calculations'!$B$3:$B$186))</f>
      </c>
      <c r="F87" s="101">
        <f>IF(E87="","",LOOKUP(A87,'Jewelry calculations'!$A$3:$A$186,'Jewelry calculations'!$M$3:$M$186))</f>
      </c>
      <c r="G87" s="204">
        <f>IF(E87="","",LOOKUP(A87,'Jewelry calculations'!$A$3:$A$186,'Jewelry calculations'!$F$3:$F$186))</f>
      </c>
      <c r="H87" s="205">
        <f ca="1">IF(E87="","",RANDBETWEEN(LOOKUP(A87,'Jewelry calculations'!$A$3:$A$186,'Jewelry calculations'!$G$3:$G$186),LOOKUP(A87,'Jewelry calculations'!$A$3:$A$186,'Jewelry calculations'!$H$3:$H$186)))</f>
      </c>
      <c r="I87" s="203">
        <f ca="1">IF(E87="","",RANDBETWEEN(LOOKUP(A87,'Jewelry calculations'!$A$3:$A$186,'Jewelry calculations'!$D$3:$D$186),LOOKUP(A87,'Jewelry calculations'!$A$3:$A$186,'Jewelry calculations'!$E$3:$E$186)))</f>
      </c>
      <c r="J87" s="207">
        <f ca="1">IF(OR(I87=0,I87=""),"",LOOKUP(RANDBETWEEN(1,53),'Gem types'!$B$3:$B$55,'Gem types'!$C$3:$C$55))</f>
      </c>
      <c r="K87" s="205">
        <f>IF(OR(I87=0,I87=""),"",SUM(LOOKUP(LOOKUP(A87,'Jewelry calculations'!$A$3:$A$186,'Jewelry calculations'!$I$3:$I$186),'Gem types'!$B$3:$B$55,'Gem types'!$G$3:$G$55),PRODUCT(LOOKUP(LOOKUP(A87,'Jewelry calculations'!$A$3:$A$186,'Jewelry calculations'!$I$3:$I$186),'Gem types'!$B$3:$B$55,'Gem types'!$G$3:$G$55),LOOKUP(B87,'Gem types'!$I$3:$I$29,'Gem types'!$J$3:$J$29))))</f>
      </c>
      <c r="L87" s="205">
        <f t="shared" si="10"/>
      </c>
    </row>
    <row r="88" spans="1:12" s="204" customFormat="1" ht="30.75" customHeight="1">
      <c r="A88" s="203">
        <f ca="1" t="shared" si="7"/>
        <v>143</v>
      </c>
      <c r="B88" s="203">
        <f ca="1" t="shared" si="8"/>
        <v>11</v>
      </c>
      <c r="D88" s="208">
        <f t="shared" si="9"/>
      </c>
      <c r="E88" s="99">
        <f>IF(D88="","",LOOKUP(A88,'Jewelry calculations'!$A$3:$A$186,'Jewelry calculations'!$B$3:$B$186))</f>
      </c>
      <c r="F88" s="101">
        <f>IF(E88="","",LOOKUP(A88,'Jewelry calculations'!$A$3:$A$186,'Jewelry calculations'!$M$3:$M$186))</f>
      </c>
      <c r="G88" s="204">
        <f>IF(E88="","",LOOKUP(A88,'Jewelry calculations'!$A$3:$A$186,'Jewelry calculations'!$F$3:$F$186))</f>
      </c>
      <c r="H88" s="205">
        <f ca="1">IF(E88="","",RANDBETWEEN(LOOKUP(A88,'Jewelry calculations'!$A$3:$A$186,'Jewelry calculations'!$G$3:$G$186),LOOKUP(A88,'Jewelry calculations'!$A$3:$A$186,'Jewelry calculations'!$H$3:$H$186)))</f>
      </c>
      <c r="I88" s="203">
        <f ca="1">IF(E88="","",RANDBETWEEN(LOOKUP(A88,'Jewelry calculations'!$A$3:$A$186,'Jewelry calculations'!$D$3:$D$186),LOOKUP(A88,'Jewelry calculations'!$A$3:$A$186,'Jewelry calculations'!$E$3:$E$186)))</f>
      </c>
      <c r="J88" s="207">
        <f ca="1">IF(OR(I88=0,I88=""),"",LOOKUP(RANDBETWEEN(1,53),'Gem types'!$B$3:$B$55,'Gem types'!$C$3:$C$55))</f>
      </c>
      <c r="K88" s="205">
        <f>IF(OR(I88=0,I88=""),"",SUM(LOOKUP(LOOKUP(A88,'Jewelry calculations'!$A$3:$A$186,'Jewelry calculations'!$I$3:$I$186),'Gem types'!$B$3:$B$55,'Gem types'!$G$3:$G$55),PRODUCT(LOOKUP(LOOKUP(A88,'Jewelry calculations'!$A$3:$A$186,'Jewelry calculations'!$I$3:$I$186),'Gem types'!$B$3:$B$55,'Gem types'!$G$3:$G$55),LOOKUP(B88,'Gem types'!$I$3:$I$29,'Gem types'!$J$3:$J$29))))</f>
      </c>
      <c r="L88" s="205">
        <f t="shared" si="10"/>
      </c>
    </row>
    <row r="89" spans="1:12" s="204" customFormat="1" ht="30.75" customHeight="1">
      <c r="A89" s="203">
        <f ca="1" t="shared" si="7"/>
        <v>60</v>
      </c>
      <c r="B89" s="203">
        <f ca="1" t="shared" si="8"/>
        <v>10</v>
      </c>
      <c r="D89" s="208">
        <f t="shared" si="9"/>
      </c>
      <c r="E89" s="99">
        <f>IF(D89="","",LOOKUP(A89,'Jewelry calculations'!$A$3:$A$186,'Jewelry calculations'!$B$3:$B$186))</f>
      </c>
      <c r="F89" s="101">
        <f>IF(E89="","",LOOKUP(A89,'Jewelry calculations'!$A$3:$A$186,'Jewelry calculations'!$M$3:$M$186))</f>
      </c>
      <c r="G89" s="204">
        <f>IF(E89="","",LOOKUP(A89,'Jewelry calculations'!$A$3:$A$186,'Jewelry calculations'!$F$3:$F$186))</f>
      </c>
      <c r="H89" s="205">
        <f ca="1">IF(E89="","",RANDBETWEEN(LOOKUP(A89,'Jewelry calculations'!$A$3:$A$186,'Jewelry calculations'!$G$3:$G$186),LOOKUP(A89,'Jewelry calculations'!$A$3:$A$186,'Jewelry calculations'!$H$3:$H$186)))</f>
      </c>
      <c r="I89" s="203">
        <f ca="1">IF(E89="","",RANDBETWEEN(LOOKUP(A89,'Jewelry calculations'!$A$3:$A$186,'Jewelry calculations'!$D$3:$D$186),LOOKUP(A89,'Jewelry calculations'!$A$3:$A$186,'Jewelry calculations'!$E$3:$E$186)))</f>
      </c>
      <c r="J89" s="207">
        <f ca="1">IF(OR(I89=0,I89=""),"",LOOKUP(RANDBETWEEN(1,53),'Gem types'!$B$3:$B$55,'Gem types'!$C$3:$C$55))</f>
      </c>
      <c r="K89" s="205">
        <f>IF(OR(I89=0,I89=""),"",SUM(LOOKUP(LOOKUP(A89,'Jewelry calculations'!$A$3:$A$186,'Jewelry calculations'!$I$3:$I$186),'Gem types'!$B$3:$B$55,'Gem types'!$G$3:$G$55),PRODUCT(LOOKUP(LOOKUP(A89,'Jewelry calculations'!$A$3:$A$186,'Jewelry calculations'!$I$3:$I$186),'Gem types'!$B$3:$B$55,'Gem types'!$G$3:$G$55),LOOKUP(B89,'Gem types'!$I$3:$I$29,'Gem types'!$J$3:$J$29))))</f>
      </c>
      <c r="L89" s="205">
        <f t="shared" si="10"/>
      </c>
    </row>
    <row r="90" spans="1:12" s="204" customFormat="1" ht="30.75" customHeight="1">
      <c r="A90" s="203">
        <f ca="1" t="shared" si="7"/>
        <v>108</v>
      </c>
      <c r="B90" s="203">
        <f ca="1" t="shared" si="8"/>
        <v>16</v>
      </c>
      <c r="D90" s="208">
        <f t="shared" si="9"/>
      </c>
      <c r="E90" s="99">
        <f>IF(D90="","",LOOKUP(A90,'Jewelry calculations'!$A$3:$A$186,'Jewelry calculations'!$B$3:$B$186))</f>
      </c>
      <c r="F90" s="101">
        <f>IF(E90="","",LOOKUP(A90,'Jewelry calculations'!$A$3:$A$186,'Jewelry calculations'!$M$3:$M$186))</f>
      </c>
      <c r="G90" s="204">
        <f>IF(E90="","",LOOKUP(A90,'Jewelry calculations'!$A$3:$A$186,'Jewelry calculations'!$F$3:$F$186))</f>
      </c>
      <c r="H90" s="205">
        <f ca="1">IF(E90="","",RANDBETWEEN(LOOKUP(A90,'Jewelry calculations'!$A$3:$A$186,'Jewelry calculations'!$G$3:$G$186),LOOKUP(A90,'Jewelry calculations'!$A$3:$A$186,'Jewelry calculations'!$H$3:$H$186)))</f>
      </c>
      <c r="I90" s="203">
        <f ca="1">IF(E90="","",RANDBETWEEN(LOOKUP(A90,'Jewelry calculations'!$A$3:$A$186,'Jewelry calculations'!$D$3:$D$186),LOOKUP(A90,'Jewelry calculations'!$A$3:$A$186,'Jewelry calculations'!$E$3:$E$186)))</f>
      </c>
      <c r="J90" s="207">
        <f ca="1">IF(OR(I90=0,I90=""),"",LOOKUP(RANDBETWEEN(1,53),'Gem types'!$B$3:$B$55,'Gem types'!$C$3:$C$55))</f>
      </c>
      <c r="K90" s="205">
        <f>IF(OR(I90=0,I90=""),"",SUM(LOOKUP(LOOKUP(A90,'Jewelry calculations'!$A$3:$A$186,'Jewelry calculations'!$I$3:$I$186),'Gem types'!$B$3:$B$55,'Gem types'!$G$3:$G$55),PRODUCT(LOOKUP(LOOKUP(A90,'Jewelry calculations'!$A$3:$A$186,'Jewelry calculations'!$I$3:$I$186),'Gem types'!$B$3:$B$55,'Gem types'!$G$3:$G$55),LOOKUP(B90,'Gem types'!$I$3:$I$29,'Gem types'!$J$3:$J$29))))</f>
      </c>
      <c r="L90" s="205">
        <f t="shared" si="10"/>
      </c>
    </row>
    <row r="91" spans="1:12" s="204" customFormat="1" ht="30.75" customHeight="1">
      <c r="A91" s="203">
        <f ca="1" t="shared" si="7"/>
        <v>29</v>
      </c>
      <c r="B91" s="203">
        <f ca="1" t="shared" si="8"/>
        <v>22</v>
      </c>
      <c r="D91" s="208">
        <f t="shared" si="9"/>
      </c>
      <c r="E91" s="99">
        <f>IF(D91="","",LOOKUP(A91,'Jewelry calculations'!$A$3:$A$186,'Jewelry calculations'!$B$3:$B$186))</f>
      </c>
      <c r="F91" s="101">
        <f>IF(E91="","",LOOKUP(A91,'Jewelry calculations'!$A$3:$A$186,'Jewelry calculations'!$M$3:$M$186))</f>
      </c>
      <c r="G91" s="204">
        <f>IF(E91="","",LOOKUP(A91,'Jewelry calculations'!$A$3:$A$186,'Jewelry calculations'!$F$3:$F$186))</f>
      </c>
      <c r="H91" s="205">
        <f ca="1">IF(E91="","",RANDBETWEEN(LOOKUP(A91,'Jewelry calculations'!$A$3:$A$186,'Jewelry calculations'!$G$3:$G$186),LOOKUP(A91,'Jewelry calculations'!$A$3:$A$186,'Jewelry calculations'!$H$3:$H$186)))</f>
      </c>
      <c r="I91" s="203">
        <f ca="1">IF(E91="","",RANDBETWEEN(LOOKUP(A91,'Jewelry calculations'!$A$3:$A$186,'Jewelry calculations'!$D$3:$D$186),LOOKUP(A91,'Jewelry calculations'!$A$3:$A$186,'Jewelry calculations'!$E$3:$E$186)))</f>
      </c>
      <c r="J91" s="207">
        <f ca="1">IF(OR(I91=0,I91=""),"",LOOKUP(RANDBETWEEN(1,53),'Gem types'!$B$3:$B$55,'Gem types'!$C$3:$C$55))</f>
      </c>
      <c r="K91" s="205">
        <f>IF(OR(I91=0,I91=""),"",SUM(LOOKUP(LOOKUP(A91,'Jewelry calculations'!$A$3:$A$186,'Jewelry calculations'!$I$3:$I$186),'Gem types'!$B$3:$B$55,'Gem types'!$G$3:$G$55),PRODUCT(LOOKUP(LOOKUP(A91,'Jewelry calculations'!$A$3:$A$186,'Jewelry calculations'!$I$3:$I$186),'Gem types'!$B$3:$B$55,'Gem types'!$G$3:$G$55),LOOKUP(B91,'Gem types'!$I$3:$I$29,'Gem types'!$J$3:$J$29))))</f>
      </c>
      <c r="L91" s="205">
        <f t="shared" si="10"/>
      </c>
    </row>
    <row r="92" spans="1:12" s="204" customFormat="1" ht="30.75" customHeight="1">
      <c r="A92" s="203">
        <f ca="1" t="shared" si="7"/>
        <v>128</v>
      </c>
      <c r="B92" s="203">
        <f ca="1" t="shared" si="8"/>
        <v>2</v>
      </c>
      <c r="D92" s="208">
        <f t="shared" si="9"/>
      </c>
      <c r="E92" s="99">
        <f>IF(D92="","",LOOKUP(A92,'Jewelry calculations'!$A$3:$A$186,'Jewelry calculations'!$B$3:$B$186))</f>
      </c>
      <c r="F92" s="101">
        <f>IF(E92="","",LOOKUP(A92,'Jewelry calculations'!$A$3:$A$186,'Jewelry calculations'!$M$3:$M$186))</f>
      </c>
      <c r="G92" s="204">
        <f>IF(E92="","",LOOKUP(A92,'Jewelry calculations'!$A$3:$A$186,'Jewelry calculations'!$F$3:$F$186))</f>
      </c>
      <c r="H92" s="205">
        <f ca="1">IF(E92="","",RANDBETWEEN(LOOKUP(A92,'Jewelry calculations'!$A$3:$A$186,'Jewelry calculations'!$G$3:$G$186),LOOKUP(A92,'Jewelry calculations'!$A$3:$A$186,'Jewelry calculations'!$H$3:$H$186)))</f>
      </c>
      <c r="I92" s="203">
        <f ca="1">IF(E92="","",RANDBETWEEN(LOOKUP(A92,'Jewelry calculations'!$A$3:$A$186,'Jewelry calculations'!$D$3:$D$186),LOOKUP(A92,'Jewelry calculations'!$A$3:$A$186,'Jewelry calculations'!$E$3:$E$186)))</f>
      </c>
      <c r="J92" s="207">
        <f ca="1">IF(OR(I92=0,I92=""),"",LOOKUP(RANDBETWEEN(1,53),'Gem types'!$B$3:$B$55,'Gem types'!$C$3:$C$55))</f>
      </c>
      <c r="K92" s="205">
        <f>IF(OR(I92=0,I92=""),"",SUM(LOOKUP(LOOKUP(A92,'Jewelry calculations'!$A$3:$A$186,'Jewelry calculations'!$I$3:$I$186),'Gem types'!$B$3:$B$55,'Gem types'!$G$3:$G$55),PRODUCT(LOOKUP(LOOKUP(A92,'Jewelry calculations'!$A$3:$A$186,'Jewelry calculations'!$I$3:$I$186),'Gem types'!$B$3:$B$55,'Gem types'!$G$3:$G$55),LOOKUP(B92,'Gem types'!$I$3:$I$29,'Gem types'!$J$3:$J$29))))</f>
      </c>
      <c r="L92" s="205">
        <f t="shared" si="10"/>
      </c>
    </row>
    <row r="93" spans="1:12" s="204" customFormat="1" ht="30.75" customHeight="1">
      <c r="A93" s="203">
        <f ca="1" t="shared" si="7"/>
        <v>75</v>
      </c>
      <c r="B93" s="203">
        <f ca="1" t="shared" si="8"/>
        <v>9</v>
      </c>
      <c r="D93" s="208">
        <f t="shared" si="9"/>
      </c>
      <c r="E93" s="99">
        <f>IF(D93="","",LOOKUP(A93,'Jewelry calculations'!$A$3:$A$186,'Jewelry calculations'!$B$3:$B$186))</f>
      </c>
      <c r="F93" s="101">
        <f>IF(E93="","",LOOKUP(A93,'Jewelry calculations'!$A$3:$A$186,'Jewelry calculations'!$M$3:$M$186))</f>
      </c>
      <c r="G93" s="204">
        <f>IF(E93="","",LOOKUP(A93,'Jewelry calculations'!$A$3:$A$186,'Jewelry calculations'!$F$3:$F$186))</f>
      </c>
      <c r="H93" s="205">
        <f ca="1">IF(E93="","",RANDBETWEEN(LOOKUP(A93,'Jewelry calculations'!$A$3:$A$186,'Jewelry calculations'!$G$3:$G$186),LOOKUP(A93,'Jewelry calculations'!$A$3:$A$186,'Jewelry calculations'!$H$3:$H$186)))</f>
      </c>
      <c r="I93" s="203">
        <f ca="1">IF(E93="","",RANDBETWEEN(LOOKUP(A93,'Jewelry calculations'!$A$3:$A$186,'Jewelry calculations'!$D$3:$D$186),LOOKUP(A93,'Jewelry calculations'!$A$3:$A$186,'Jewelry calculations'!$E$3:$E$186)))</f>
      </c>
      <c r="J93" s="207">
        <f ca="1">IF(OR(I93=0,I93=""),"",LOOKUP(RANDBETWEEN(1,53),'Gem types'!$B$3:$B$55,'Gem types'!$C$3:$C$55))</f>
      </c>
      <c r="K93" s="205">
        <f>IF(OR(I93=0,I93=""),"",SUM(LOOKUP(LOOKUP(A93,'Jewelry calculations'!$A$3:$A$186,'Jewelry calculations'!$I$3:$I$186),'Gem types'!$B$3:$B$55,'Gem types'!$G$3:$G$55),PRODUCT(LOOKUP(LOOKUP(A93,'Jewelry calculations'!$A$3:$A$186,'Jewelry calculations'!$I$3:$I$186),'Gem types'!$B$3:$B$55,'Gem types'!$G$3:$G$55),LOOKUP(B93,'Gem types'!$I$3:$I$29,'Gem types'!$J$3:$J$29))))</f>
      </c>
      <c r="L93" s="205">
        <f t="shared" si="10"/>
      </c>
    </row>
    <row r="94" spans="1:12" s="204" customFormat="1" ht="30.75" customHeight="1">
      <c r="A94" s="203">
        <f ca="1" t="shared" si="7"/>
        <v>67</v>
      </c>
      <c r="B94" s="203">
        <f ca="1" t="shared" si="8"/>
        <v>27</v>
      </c>
      <c r="D94" s="208">
        <f t="shared" si="9"/>
      </c>
      <c r="E94" s="99">
        <f>IF(D94="","",LOOKUP(A94,'Jewelry calculations'!$A$3:$A$186,'Jewelry calculations'!$B$3:$B$186))</f>
      </c>
      <c r="F94" s="101">
        <f>IF(E94="","",LOOKUP(A94,'Jewelry calculations'!$A$3:$A$186,'Jewelry calculations'!$M$3:$M$186))</f>
      </c>
      <c r="G94" s="204">
        <f>IF(E94="","",LOOKUP(A94,'Jewelry calculations'!$A$3:$A$186,'Jewelry calculations'!$F$3:$F$186))</f>
      </c>
      <c r="H94" s="205">
        <f ca="1">IF(E94="","",RANDBETWEEN(LOOKUP(A94,'Jewelry calculations'!$A$3:$A$186,'Jewelry calculations'!$G$3:$G$186),LOOKUP(A94,'Jewelry calculations'!$A$3:$A$186,'Jewelry calculations'!$H$3:$H$186)))</f>
      </c>
      <c r="I94" s="203">
        <f ca="1">IF(E94="","",RANDBETWEEN(LOOKUP(A94,'Jewelry calculations'!$A$3:$A$186,'Jewelry calculations'!$D$3:$D$186),LOOKUP(A94,'Jewelry calculations'!$A$3:$A$186,'Jewelry calculations'!$E$3:$E$186)))</f>
      </c>
      <c r="J94" s="207">
        <f ca="1">IF(OR(I94=0,I94=""),"",LOOKUP(RANDBETWEEN(1,53),'Gem types'!$B$3:$B$55,'Gem types'!$C$3:$C$55))</f>
      </c>
      <c r="K94" s="205">
        <f>IF(OR(I94=0,I94=""),"",SUM(LOOKUP(LOOKUP(A94,'Jewelry calculations'!$A$3:$A$186,'Jewelry calculations'!$I$3:$I$186),'Gem types'!$B$3:$B$55,'Gem types'!$G$3:$G$55),PRODUCT(LOOKUP(LOOKUP(A94,'Jewelry calculations'!$A$3:$A$186,'Jewelry calculations'!$I$3:$I$186),'Gem types'!$B$3:$B$55,'Gem types'!$G$3:$G$55),LOOKUP(B94,'Gem types'!$I$3:$I$29,'Gem types'!$J$3:$J$29))))</f>
      </c>
      <c r="L94" s="205">
        <f t="shared" si="10"/>
      </c>
    </row>
    <row r="95" spans="1:12" s="204" customFormat="1" ht="30.75" customHeight="1">
      <c r="A95" s="203">
        <f ca="1" t="shared" si="7"/>
        <v>103</v>
      </c>
      <c r="B95" s="203">
        <f ca="1" t="shared" si="8"/>
        <v>26</v>
      </c>
      <c r="D95" s="208">
        <f t="shared" si="9"/>
      </c>
      <c r="E95" s="99">
        <f>IF(D95="","",LOOKUP(A95,'Jewelry calculations'!$A$3:$A$186,'Jewelry calculations'!$B$3:$B$186))</f>
      </c>
      <c r="F95" s="101">
        <f>IF(E95="","",LOOKUP(A95,'Jewelry calculations'!$A$3:$A$186,'Jewelry calculations'!$M$3:$M$186))</f>
      </c>
      <c r="G95" s="204">
        <f>IF(E95="","",LOOKUP(A95,'Jewelry calculations'!$A$3:$A$186,'Jewelry calculations'!$F$3:$F$186))</f>
      </c>
      <c r="H95" s="205">
        <f ca="1">IF(E95="","",RANDBETWEEN(LOOKUP(A95,'Jewelry calculations'!$A$3:$A$186,'Jewelry calculations'!$G$3:$G$186),LOOKUP(A95,'Jewelry calculations'!$A$3:$A$186,'Jewelry calculations'!$H$3:$H$186)))</f>
      </c>
      <c r="I95" s="203">
        <f ca="1">IF(E95="","",RANDBETWEEN(LOOKUP(A95,'Jewelry calculations'!$A$3:$A$186,'Jewelry calculations'!$D$3:$D$186),LOOKUP(A95,'Jewelry calculations'!$A$3:$A$186,'Jewelry calculations'!$E$3:$E$186)))</f>
      </c>
      <c r="J95" s="207">
        <f ca="1">IF(OR(I95=0,I95=""),"",LOOKUP(RANDBETWEEN(1,53),'Gem types'!$B$3:$B$55,'Gem types'!$C$3:$C$55))</f>
      </c>
      <c r="K95" s="205">
        <f>IF(OR(I95=0,I95=""),"",SUM(LOOKUP(LOOKUP(A95,'Jewelry calculations'!$A$3:$A$186,'Jewelry calculations'!$I$3:$I$186),'Gem types'!$B$3:$B$55,'Gem types'!$G$3:$G$55),PRODUCT(LOOKUP(LOOKUP(A95,'Jewelry calculations'!$A$3:$A$186,'Jewelry calculations'!$I$3:$I$186),'Gem types'!$B$3:$B$55,'Gem types'!$G$3:$G$55),LOOKUP(B95,'Gem types'!$I$3:$I$29,'Gem types'!$J$3:$J$29))))</f>
      </c>
      <c r="L95" s="205">
        <f t="shared" si="10"/>
      </c>
    </row>
    <row r="96" spans="1:12" s="204" customFormat="1" ht="30.75" customHeight="1">
      <c r="A96" s="203">
        <f ca="1" t="shared" si="7"/>
        <v>90</v>
      </c>
      <c r="B96" s="203">
        <f ca="1" t="shared" si="8"/>
        <v>11</v>
      </c>
      <c r="D96" s="208">
        <f t="shared" si="9"/>
      </c>
      <c r="E96" s="99">
        <f>IF(D96="","",LOOKUP(A96,'Jewelry calculations'!$A$3:$A$186,'Jewelry calculations'!$B$3:$B$186))</f>
      </c>
      <c r="F96" s="101">
        <f>IF(E96="","",LOOKUP(A96,'Jewelry calculations'!$A$3:$A$186,'Jewelry calculations'!$M$3:$M$186))</f>
      </c>
      <c r="G96" s="204">
        <f>IF(E96="","",LOOKUP(A96,'Jewelry calculations'!$A$3:$A$186,'Jewelry calculations'!$F$3:$F$186))</f>
      </c>
      <c r="H96" s="205">
        <f ca="1">IF(E96="","",RANDBETWEEN(LOOKUP(A96,'Jewelry calculations'!$A$3:$A$186,'Jewelry calculations'!$G$3:$G$186),LOOKUP(A96,'Jewelry calculations'!$A$3:$A$186,'Jewelry calculations'!$H$3:$H$186)))</f>
      </c>
      <c r="I96" s="203">
        <f ca="1">IF(E96="","",RANDBETWEEN(LOOKUP(A96,'Jewelry calculations'!$A$3:$A$186,'Jewelry calculations'!$D$3:$D$186),LOOKUP(A96,'Jewelry calculations'!$A$3:$A$186,'Jewelry calculations'!$E$3:$E$186)))</f>
      </c>
      <c r="J96" s="207">
        <f ca="1">IF(OR(I96=0,I96=""),"",LOOKUP(RANDBETWEEN(1,53),'Gem types'!$B$3:$B$55,'Gem types'!$C$3:$C$55))</f>
      </c>
      <c r="K96" s="205">
        <f>IF(OR(I96=0,I96=""),"",SUM(LOOKUP(LOOKUP(A96,'Jewelry calculations'!$A$3:$A$186,'Jewelry calculations'!$I$3:$I$186),'Gem types'!$B$3:$B$55,'Gem types'!$G$3:$G$55),PRODUCT(LOOKUP(LOOKUP(A96,'Jewelry calculations'!$A$3:$A$186,'Jewelry calculations'!$I$3:$I$186),'Gem types'!$B$3:$B$55,'Gem types'!$G$3:$G$55),LOOKUP(B96,'Gem types'!$I$3:$I$29,'Gem types'!$J$3:$J$29))))</f>
      </c>
      <c r="L96" s="205">
        <f t="shared" si="10"/>
      </c>
    </row>
    <row r="97" spans="1:12" s="204" customFormat="1" ht="30.75" customHeight="1">
      <c r="A97" s="203">
        <f ca="1" t="shared" si="7"/>
        <v>75</v>
      </c>
      <c r="B97" s="203">
        <f ca="1" t="shared" si="8"/>
        <v>20</v>
      </c>
      <c r="D97" s="208">
        <f t="shared" si="9"/>
      </c>
      <c r="E97" s="99">
        <f>IF(D97="","",LOOKUP(A97,'Jewelry calculations'!$A$3:$A$186,'Jewelry calculations'!$B$3:$B$186))</f>
      </c>
      <c r="F97" s="101">
        <f>IF(E97="","",LOOKUP(A97,'Jewelry calculations'!$A$3:$A$186,'Jewelry calculations'!$M$3:$M$186))</f>
      </c>
      <c r="G97" s="204">
        <f>IF(E97="","",LOOKUP(A97,'Jewelry calculations'!$A$3:$A$186,'Jewelry calculations'!$F$3:$F$186))</f>
      </c>
      <c r="H97" s="205">
        <f ca="1">IF(E97="","",RANDBETWEEN(LOOKUP(A97,'Jewelry calculations'!$A$3:$A$186,'Jewelry calculations'!$G$3:$G$186),LOOKUP(A97,'Jewelry calculations'!$A$3:$A$186,'Jewelry calculations'!$H$3:$H$186)))</f>
      </c>
      <c r="I97" s="203">
        <f ca="1">IF(E97="","",RANDBETWEEN(LOOKUP(A97,'Jewelry calculations'!$A$3:$A$186,'Jewelry calculations'!$D$3:$D$186),LOOKUP(A97,'Jewelry calculations'!$A$3:$A$186,'Jewelry calculations'!$E$3:$E$186)))</f>
      </c>
      <c r="J97" s="207">
        <f ca="1">IF(OR(I97=0,I97=""),"",LOOKUP(RANDBETWEEN(1,53),'Gem types'!$B$3:$B$55,'Gem types'!$C$3:$C$55))</f>
      </c>
      <c r="K97" s="205">
        <f>IF(OR(I97=0,I97=""),"",SUM(LOOKUP(LOOKUP(A97,'Jewelry calculations'!$A$3:$A$186,'Jewelry calculations'!$I$3:$I$186),'Gem types'!$B$3:$B$55,'Gem types'!$G$3:$G$55),PRODUCT(LOOKUP(LOOKUP(A97,'Jewelry calculations'!$A$3:$A$186,'Jewelry calculations'!$I$3:$I$186),'Gem types'!$B$3:$B$55,'Gem types'!$G$3:$G$55),LOOKUP(B97,'Gem types'!$I$3:$I$29,'Gem types'!$J$3:$J$29))))</f>
      </c>
      <c r="L97" s="205">
        <f t="shared" si="10"/>
      </c>
    </row>
    <row r="98" spans="1:12" s="204" customFormat="1" ht="30.75" customHeight="1">
      <c r="A98" s="203">
        <f ca="1" t="shared" si="7"/>
        <v>147</v>
      </c>
      <c r="B98" s="203">
        <f ca="1" t="shared" si="8"/>
        <v>15</v>
      </c>
      <c r="D98" s="208">
        <f t="shared" si="9"/>
      </c>
      <c r="E98" s="99">
        <f>IF(D98="","",LOOKUP(A98,'Jewelry calculations'!$A$3:$A$186,'Jewelry calculations'!$B$3:$B$186))</f>
      </c>
      <c r="F98" s="101">
        <f>IF(E98="","",LOOKUP(A98,'Jewelry calculations'!$A$3:$A$186,'Jewelry calculations'!$M$3:$M$186))</f>
      </c>
      <c r="G98" s="204">
        <f>IF(E98="","",LOOKUP(A98,'Jewelry calculations'!$A$3:$A$186,'Jewelry calculations'!$F$3:$F$186))</f>
      </c>
      <c r="H98" s="205">
        <f ca="1">IF(E98="","",RANDBETWEEN(LOOKUP(A98,'Jewelry calculations'!$A$3:$A$186,'Jewelry calculations'!$G$3:$G$186),LOOKUP(A98,'Jewelry calculations'!$A$3:$A$186,'Jewelry calculations'!$H$3:$H$186)))</f>
      </c>
      <c r="I98" s="203">
        <f ca="1">IF(E98="","",RANDBETWEEN(LOOKUP(A98,'Jewelry calculations'!$A$3:$A$186,'Jewelry calculations'!$D$3:$D$186),LOOKUP(A98,'Jewelry calculations'!$A$3:$A$186,'Jewelry calculations'!$E$3:$E$186)))</f>
      </c>
      <c r="J98" s="207">
        <f ca="1">IF(OR(I98=0,I98=""),"",LOOKUP(RANDBETWEEN(1,53),'Gem types'!$B$3:$B$55,'Gem types'!$C$3:$C$55))</f>
      </c>
      <c r="K98" s="205">
        <f>IF(OR(I98=0,I98=""),"",SUM(LOOKUP(LOOKUP(A98,'Jewelry calculations'!$A$3:$A$186,'Jewelry calculations'!$I$3:$I$186),'Gem types'!$B$3:$B$55,'Gem types'!$G$3:$G$55),PRODUCT(LOOKUP(LOOKUP(A98,'Jewelry calculations'!$A$3:$A$186,'Jewelry calculations'!$I$3:$I$186),'Gem types'!$B$3:$B$55,'Gem types'!$G$3:$G$55),LOOKUP(B98,'Gem types'!$I$3:$I$29,'Gem types'!$J$3:$J$29))))</f>
      </c>
      <c r="L98" s="205">
        <f t="shared" si="10"/>
      </c>
    </row>
    <row r="99" spans="1:12" s="204" customFormat="1" ht="30.75" customHeight="1">
      <c r="A99" s="203">
        <f ca="1" t="shared" si="7"/>
        <v>130</v>
      </c>
      <c r="B99" s="203">
        <f ca="1" t="shared" si="8"/>
        <v>26</v>
      </c>
      <c r="D99" s="208">
        <f t="shared" si="9"/>
      </c>
      <c r="E99" s="99">
        <f>IF(D99="","",LOOKUP(A99,'Jewelry calculations'!$A$3:$A$186,'Jewelry calculations'!$B$3:$B$186))</f>
      </c>
      <c r="F99" s="101">
        <f>IF(E99="","",LOOKUP(A99,'Jewelry calculations'!$A$3:$A$186,'Jewelry calculations'!$M$3:$M$186))</f>
      </c>
      <c r="G99" s="204">
        <f>IF(E99="","",LOOKUP(A99,'Jewelry calculations'!$A$3:$A$186,'Jewelry calculations'!$F$3:$F$186))</f>
      </c>
      <c r="H99" s="205">
        <f ca="1">IF(E99="","",RANDBETWEEN(LOOKUP(A99,'Jewelry calculations'!$A$3:$A$186,'Jewelry calculations'!$G$3:$G$186),LOOKUP(A99,'Jewelry calculations'!$A$3:$A$186,'Jewelry calculations'!$H$3:$H$186)))</f>
      </c>
      <c r="I99" s="203">
        <f ca="1">IF(E99="","",RANDBETWEEN(LOOKUP(A99,'Jewelry calculations'!$A$3:$A$186,'Jewelry calculations'!$D$3:$D$186),LOOKUP(A99,'Jewelry calculations'!$A$3:$A$186,'Jewelry calculations'!$E$3:$E$186)))</f>
      </c>
      <c r="J99" s="207">
        <f ca="1">IF(OR(I99=0,I99=""),"",LOOKUP(RANDBETWEEN(1,53),'Gem types'!$B$3:$B$55,'Gem types'!$C$3:$C$55))</f>
      </c>
      <c r="K99" s="205">
        <f>IF(OR(I99=0,I99=""),"",SUM(LOOKUP(LOOKUP(A99,'Jewelry calculations'!$A$3:$A$186,'Jewelry calculations'!$I$3:$I$186),'Gem types'!$B$3:$B$55,'Gem types'!$G$3:$G$55),PRODUCT(LOOKUP(LOOKUP(A99,'Jewelry calculations'!$A$3:$A$186,'Jewelry calculations'!$I$3:$I$186),'Gem types'!$B$3:$B$55,'Gem types'!$G$3:$G$55),LOOKUP(B99,'Gem types'!$I$3:$I$29,'Gem types'!$J$3:$J$29))))</f>
      </c>
      <c r="L99" s="205">
        <f t="shared" si="10"/>
      </c>
    </row>
    <row r="100" spans="1:12" s="204" customFormat="1" ht="30.75" customHeight="1">
      <c r="A100" s="203">
        <f ca="1" t="shared" si="7"/>
        <v>184</v>
      </c>
      <c r="B100" s="203">
        <f ca="1" t="shared" si="8"/>
        <v>3</v>
      </c>
      <c r="D100" s="208">
        <f t="shared" si="9"/>
      </c>
      <c r="E100" s="99">
        <f>IF(D100="","",LOOKUP(A100,'Jewelry calculations'!$A$3:$A$186,'Jewelry calculations'!$B$3:$B$186))</f>
      </c>
      <c r="F100" s="101">
        <f>IF(E100="","",LOOKUP(A100,'Jewelry calculations'!$A$3:$A$186,'Jewelry calculations'!$M$3:$M$186))</f>
      </c>
      <c r="G100" s="204">
        <f>IF(E100="","",LOOKUP(A100,'Jewelry calculations'!$A$3:$A$186,'Jewelry calculations'!$F$3:$F$186))</f>
      </c>
      <c r="H100" s="205">
        <f ca="1">IF(E100="","",RANDBETWEEN(LOOKUP(A100,'Jewelry calculations'!$A$3:$A$186,'Jewelry calculations'!$G$3:$G$186),LOOKUP(A100,'Jewelry calculations'!$A$3:$A$186,'Jewelry calculations'!$H$3:$H$186)))</f>
      </c>
      <c r="I100" s="203">
        <f ca="1">IF(E100="","",RANDBETWEEN(LOOKUP(A100,'Jewelry calculations'!$A$3:$A$186,'Jewelry calculations'!$D$3:$D$186),LOOKUP(A100,'Jewelry calculations'!$A$3:$A$186,'Jewelry calculations'!$E$3:$E$186)))</f>
      </c>
      <c r="J100" s="207">
        <f ca="1">IF(OR(I100=0,I100=""),"",LOOKUP(RANDBETWEEN(1,53),'Gem types'!$B$3:$B$55,'Gem types'!$C$3:$C$55))</f>
      </c>
      <c r="K100" s="205">
        <f>IF(OR(I100=0,I100=""),"",SUM(LOOKUP(LOOKUP(A100,'Jewelry calculations'!$A$3:$A$186,'Jewelry calculations'!$I$3:$I$186),'Gem types'!$B$3:$B$55,'Gem types'!$G$3:$G$55),PRODUCT(LOOKUP(LOOKUP(A100,'Jewelry calculations'!$A$3:$A$186,'Jewelry calculations'!$I$3:$I$186),'Gem types'!$B$3:$B$55,'Gem types'!$G$3:$G$55),LOOKUP(B100,'Gem types'!$I$3:$I$29,'Gem types'!$J$3:$J$29))))</f>
      </c>
      <c r="L100" s="205">
        <f t="shared" si="10"/>
      </c>
    </row>
    <row r="101" spans="1:12" s="204" customFormat="1" ht="30.75" customHeight="1">
      <c r="A101" s="203">
        <f ca="1" t="shared" si="7"/>
        <v>150</v>
      </c>
      <c r="B101" s="203">
        <f ca="1" t="shared" si="8"/>
        <v>10</v>
      </c>
      <c r="D101" s="208">
        <f t="shared" si="9"/>
      </c>
      <c r="E101" s="99">
        <f>IF(D101="","",LOOKUP(A101,'Jewelry calculations'!$A$3:$A$186,'Jewelry calculations'!$B$3:$B$186))</f>
      </c>
      <c r="F101" s="101">
        <f>IF(E101="","",LOOKUP(A101,'Jewelry calculations'!$A$3:$A$186,'Jewelry calculations'!$M$3:$M$186))</f>
      </c>
      <c r="G101" s="204">
        <f>IF(E101="","",LOOKUP(A101,'Jewelry calculations'!$A$3:$A$186,'Jewelry calculations'!$F$3:$F$186))</f>
      </c>
      <c r="H101" s="205">
        <f ca="1">IF(E101="","",RANDBETWEEN(LOOKUP(A101,'Jewelry calculations'!$A$3:$A$186,'Jewelry calculations'!$G$3:$G$186),LOOKUP(A101,'Jewelry calculations'!$A$3:$A$186,'Jewelry calculations'!$H$3:$H$186)))</f>
      </c>
      <c r="I101" s="203">
        <f ca="1">IF(E101="","",RANDBETWEEN(LOOKUP(A101,'Jewelry calculations'!$A$3:$A$186,'Jewelry calculations'!$D$3:$D$186),LOOKUP(A101,'Jewelry calculations'!$A$3:$A$186,'Jewelry calculations'!$E$3:$E$186)))</f>
      </c>
      <c r="J101" s="207">
        <f ca="1">IF(OR(I101=0,I101=""),"",LOOKUP(RANDBETWEEN(1,53),'Gem types'!$B$3:$B$55,'Gem types'!$C$3:$C$55))</f>
      </c>
      <c r="K101" s="205">
        <f>IF(OR(I101=0,I101=""),"",SUM(LOOKUP(LOOKUP(A101,'Jewelry calculations'!$A$3:$A$186,'Jewelry calculations'!$I$3:$I$186),'Gem types'!$B$3:$B$55,'Gem types'!$G$3:$G$55),PRODUCT(LOOKUP(LOOKUP(A101,'Jewelry calculations'!$A$3:$A$186,'Jewelry calculations'!$I$3:$I$186),'Gem types'!$B$3:$B$55,'Gem types'!$G$3:$G$55),LOOKUP(B101,'Gem types'!$I$3:$I$29,'Gem types'!$J$3:$J$29))))</f>
      </c>
      <c r="L101" s="205">
        <f t="shared" si="10"/>
      </c>
    </row>
    <row r="102" spans="1:12" s="204" customFormat="1" ht="30.75" customHeight="1">
      <c r="A102" s="203">
        <f ca="1" t="shared" si="7"/>
        <v>84</v>
      </c>
      <c r="B102" s="203">
        <f ca="1" t="shared" si="8"/>
        <v>15</v>
      </c>
      <c r="D102" s="208">
        <f t="shared" si="9"/>
      </c>
      <c r="E102" s="99">
        <f>IF(D102="","",LOOKUP(A102,'Jewelry calculations'!$A$3:$A$186,'Jewelry calculations'!$B$3:$B$186))</f>
      </c>
      <c r="F102" s="101">
        <f>IF(E102="","",LOOKUP(A102,'Jewelry calculations'!$A$3:$A$186,'Jewelry calculations'!$M$3:$M$186))</f>
      </c>
      <c r="G102" s="204">
        <f>IF(E102="","",LOOKUP(A102,'Jewelry calculations'!$A$3:$A$186,'Jewelry calculations'!$F$3:$F$186))</f>
      </c>
      <c r="H102" s="205">
        <f ca="1">IF(E102="","",RANDBETWEEN(LOOKUP(A102,'Jewelry calculations'!$A$3:$A$186,'Jewelry calculations'!$G$3:$G$186),LOOKUP(A102,'Jewelry calculations'!$A$3:$A$186,'Jewelry calculations'!$H$3:$H$186)))</f>
      </c>
      <c r="I102" s="203">
        <f ca="1">IF(E102="","",RANDBETWEEN(LOOKUP(A102,'Jewelry calculations'!$A$3:$A$186,'Jewelry calculations'!$D$3:$D$186),LOOKUP(A102,'Jewelry calculations'!$A$3:$A$186,'Jewelry calculations'!$E$3:$E$186)))</f>
      </c>
      <c r="J102" s="207">
        <f ca="1">IF(OR(I102=0,I102=""),"",LOOKUP(RANDBETWEEN(1,53),'Gem types'!$B$3:$B$55,'Gem types'!$C$3:$C$55))</f>
      </c>
      <c r="K102" s="205">
        <f>IF(OR(I102=0,I102=""),"",SUM(LOOKUP(LOOKUP(A102,'Jewelry calculations'!$A$3:$A$186,'Jewelry calculations'!$I$3:$I$186),'Gem types'!$B$3:$B$55,'Gem types'!$G$3:$G$55),PRODUCT(LOOKUP(LOOKUP(A102,'Jewelry calculations'!$A$3:$A$186,'Jewelry calculations'!$I$3:$I$186),'Gem types'!$B$3:$B$55,'Gem types'!$G$3:$G$55),LOOKUP(B102,'Gem types'!$I$3:$I$29,'Gem types'!$J$3:$J$29))))</f>
      </c>
      <c r="L102" s="205">
        <f t="shared" si="10"/>
      </c>
    </row>
    <row r="103" spans="1:12" s="204" customFormat="1" ht="30.75" customHeight="1">
      <c r="A103" s="203">
        <f ca="1" t="shared" si="7"/>
        <v>39</v>
      </c>
      <c r="B103" s="203">
        <f ca="1" t="shared" si="8"/>
        <v>10</v>
      </c>
      <c r="D103" s="208">
        <f t="shared" si="9"/>
      </c>
      <c r="E103" s="99">
        <f>IF(D103="","",LOOKUP(A103,'Jewelry calculations'!$A$3:$A$186,'Jewelry calculations'!$B$3:$B$186))</f>
      </c>
      <c r="F103" s="101">
        <f>IF(E103="","",LOOKUP(A103,'Jewelry calculations'!$A$3:$A$186,'Jewelry calculations'!$M$3:$M$186))</f>
      </c>
      <c r="G103" s="204">
        <f>IF(E103="","",LOOKUP(A103,'Jewelry calculations'!$A$3:$A$186,'Jewelry calculations'!$F$3:$F$186))</f>
      </c>
      <c r="H103" s="205">
        <f ca="1">IF(E103="","",RANDBETWEEN(LOOKUP(A103,'Jewelry calculations'!$A$3:$A$186,'Jewelry calculations'!$G$3:$G$186),LOOKUP(A103,'Jewelry calculations'!$A$3:$A$186,'Jewelry calculations'!$H$3:$H$186)))</f>
      </c>
      <c r="I103" s="203">
        <f ca="1">IF(E103="","",RANDBETWEEN(LOOKUP(A103,'Jewelry calculations'!$A$3:$A$186,'Jewelry calculations'!$D$3:$D$186),LOOKUP(A103,'Jewelry calculations'!$A$3:$A$186,'Jewelry calculations'!$E$3:$E$186)))</f>
      </c>
      <c r="J103" s="207">
        <f ca="1">IF(OR(I103=0,I103=""),"",LOOKUP(RANDBETWEEN(1,53),'Gem types'!$B$3:$B$55,'Gem types'!$C$3:$C$55))</f>
      </c>
      <c r="K103" s="205">
        <f>IF(OR(I103=0,I103=""),"",SUM(LOOKUP(LOOKUP(A103,'Jewelry calculations'!$A$3:$A$186,'Jewelry calculations'!$I$3:$I$186),'Gem types'!$B$3:$B$55,'Gem types'!$G$3:$G$55),PRODUCT(LOOKUP(LOOKUP(A103,'Jewelry calculations'!$A$3:$A$186,'Jewelry calculations'!$I$3:$I$186),'Gem types'!$B$3:$B$55,'Gem types'!$G$3:$G$55),LOOKUP(B103,'Gem types'!$I$3:$I$29,'Gem types'!$J$3:$J$29))))</f>
      </c>
      <c r="L103" s="205">
        <f t="shared" si="10"/>
      </c>
    </row>
    <row r="104" spans="1:12" s="204" customFormat="1" ht="30.75" customHeight="1">
      <c r="A104" s="203">
        <f ca="1" t="shared" si="7"/>
        <v>51</v>
      </c>
      <c r="B104" s="203">
        <f ca="1" t="shared" si="8"/>
        <v>27</v>
      </c>
      <c r="D104" s="208">
        <f t="shared" si="9"/>
      </c>
      <c r="E104" s="99">
        <f>IF(D104="","",LOOKUP(A104,'Jewelry calculations'!$A$3:$A$186,'Jewelry calculations'!$B$3:$B$186))</f>
      </c>
      <c r="F104" s="101">
        <f>IF(E104="","",LOOKUP(A104,'Jewelry calculations'!$A$3:$A$186,'Jewelry calculations'!$M$3:$M$186))</f>
      </c>
      <c r="G104" s="204">
        <f>IF(E104="","",LOOKUP(A104,'Jewelry calculations'!$A$3:$A$186,'Jewelry calculations'!$F$3:$F$186))</f>
      </c>
      <c r="H104" s="205">
        <f ca="1">IF(E104="","",RANDBETWEEN(LOOKUP(A104,'Jewelry calculations'!$A$3:$A$186,'Jewelry calculations'!$G$3:$G$186),LOOKUP(A104,'Jewelry calculations'!$A$3:$A$186,'Jewelry calculations'!$H$3:$H$186)))</f>
      </c>
      <c r="I104" s="203">
        <f ca="1">IF(E104="","",RANDBETWEEN(LOOKUP(A104,'Jewelry calculations'!$A$3:$A$186,'Jewelry calculations'!$D$3:$D$186),LOOKUP(A104,'Jewelry calculations'!$A$3:$A$186,'Jewelry calculations'!$E$3:$E$186)))</f>
      </c>
      <c r="J104" s="207">
        <f ca="1">IF(OR(I104=0,I104=""),"",LOOKUP(RANDBETWEEN(1,53),'Gem types'!$B$3:$B$55,'Gem types'!$C$3:$C$55))</f>
      </c>
      <c r="K104" s="205">
        <f>IF(OR(I104=0,I104=""),"",SUM(LOOKUP(LOOKUP(A104,'Jewelry calculations'!$A$3:$A$186,'Jewelry calculations'!$I$3:$I$186),'Gem types'!$B$3:$B$55,'Gem types'!$G$3:$G$55),PRODUCT(LOOKUP(LOOKUP(A104,'Jewelry calculations'!$A$3:$A$186,'Jewelry calculations'!$I$3:$I$186),'Gem types'!$B$3:$B$55,'Gem types'!$G$3:$G$55),LOOKUP(B104,'Gem types'!$I$3:$I$29,'Gem types'!$J$3:$J$29))))</f>
      </c>
      <c r="L104" s="205">
        <f t="shared" si="10"/>
      </c>
    </row>
    <row r="105" spans="1:11" s="204" customFormat="1" ht="30.75" customHeight="1">
      <c r="A105" s="203"/>
      <c r="B105" s="203"/>
      <c r="D105" s="208"/>
      <c r="E105" s="99"/>
      <c r="F105" s="101">
        <f>IF(E105="","",LOOKUP(A105,'Jewelry calculations'!$A$3:$A$186,'Jewelry calculations'!$M$3:$M$186))</f>
      </c>
      <c r="H105" s="205"/>
      <c r="K105" s="211"/>
    </row>
    <row r="106" spans="1:11" s="204" customFormat="1" ht="30.75" customHeight="1">
      <c r="A106" s="203"/>
      <c r="B106" s="203"/>
      <c r="D106" s="208"/>
      <c r="E106" s="99"/>
      <c r="F106" s="101">
        <f>IF(E106="","",LOOKUP(A106,'Jewelry calculations'!$A$3:$A$186,'Jewelry calculations'!$M$3:$M$186))</f>
      </c>
      <c r="H106" s="205"/>
      <c r="K106" s="211"/>
    </row>
    <row r="107" spans="1:11" s="204" customFormat="1" ht="30.75" customHeight="1">
      <c r="A107" s="203"/>
      <c r="B107" s="203"/>
      <c r="D107" s="208"/>
      <c r="E107" s="99"/>
      <c r="F107" s="101">
        <f>IF(E107="","",LOOKUP(A107,'Jewelry calculations'!$A$3:$A$186,'Jewelry calculations'!$M$3:$M$186))</f>
      </c>
      <c r="H107" s="205"/>
      <c r="K107" s="211"/>
    </row>
    <row r="108" spans="1:11" s="204" customFormat="1" ht="30.75" customHeight="1">
      <c r="A108" s="203"/>
      <c r="B108" s="203"/>
      <c r="D108" s="208"/>
      <c r="E108" s="99"/>
      <c r="F108" s="101">
        <f>IF(E108="","",LOOKUP(A108,'Jewelry calculations'!$A$3:$A$186,'Jewelry calculations'!$M$3:$M$186))</f>
      </c>
      <c r="H108" s="205"/>
      <c r="K108" s="211"/>
    </row>
    <row r="109" spans="1:11" s="204" customFormat="1" ht="30.75" customHeight="1">
      <c r="A109" s="203"/>
      <c r="B109" s="203"/>
      <c r="D109" s="208"/>
      <c r="E109" s="99"/>
      <c r="F109" s="101">
        <f>IF(E109="","",LOOKUP(A109,'Jewelry calculations'!$A$3:$A$186,'Jewelry calculations'!$M$3:$M$186))</f>
      </c>
      <c r="H109" s="205"/>
      <c r="K109" s="211"/>
    </row>
    <row r="110" spans="1:11" s="204" customFormat="1" ht="30.75" customHeight="1">
      <c r="A110" s="203"/>
      <c r="B110" s="203"/>
      <c r="D110" s="208"/>
      <c r="E110" s="99"/>
      <c r="F110" s="101">
        <f>IF(E110="","",LOOKUP(A110,'Jewelry calculations'!$A$3:$A$186,'Jewelry calculations'!$M$3:$M$186))</f>
      </c>
      <c r="H110" s="205"/>
      <c r="K110" s="211"/>
    </row>
    <row r="111" spans="1:11" s="204" customFormat="1" ht="30.75" customHeight="1">
      <c r="A111" s="203"/>
      <c r="B111" s="203"/>
      <c r="D111" s="208"/>
      <c r="E111" s="99"/>
      <c r="F111" s="101">
        <f>IF(E111="","",LOOKUP(A111,'Jewelry calculations'!$A$3:$A$186,'Jewelry calculations'!$M$3:$M$186))</f>
      </c>
      <c r="H111" s="205"/>
      <c r="K111" s="211"/>
    </row>
    <row r="112" spans="1:11" s="204" customFormat="1" ht="30.75" customHeight="1">
      <c r="A112" s="203"/>
      <c r="B112" s="203"/>
      <c r="D112" s="208"/>
      <c r="E112" s="99"/>
      <c r="F112" s="101">
        <f>IF(E112="","",LOOKUP(A112,'Jewelry calculations'!$A$3:$A$186,'Jewelry calculations'!$M$3:$M$186))</f>
      </c>
      <c r="H112" s="205"/>
      <c r="K112" s="211"/>
    </row>
    <row r="113" spans="1:11" s="204" customFormat="1" ht="30.75" customHeight="1">
      <c r="A113" s="203"/>
      <c r="B113" s="203"/>
      <c r="D113" s="208"/>
      <c r="E113" s="99"/>
      <c r="F113" s="101">
        <f>IF(E113="","",LOOKUP(A113,'Jewelry calculations'!$A$3:$A$186,'Jewelry calculations'!$M$3:$M$186))</f>
      </c>
      <c r="H113" s="205"/>
      <c r="K113" s="211"/>
    </row>
    <row r="114" spans="1:11" s="204" customFormat="1" ht="30.75" customHeight="1">
      <c r="A114" s="203"/>
      <c r="B114" s="203"/>
      <c r="D114" s="208"/>
      <c r="E114" s="99"/>
      <c r="F114" s="101">
        <f>IF(E114="","",LOOKUP(A114,'Jewelry calculations'!$A$3:$A$186,'Jewelry calculations'!$M$3:$M$186))</f>
      </c>
      <c r="H114" s="205"/>
      <c r="K114" s="211"/>
    </row>
    <row r="115" spans="1:11" s="204" customFormat="1" ht="30.75" customHeight="1">
      <c r="A115" s="203"/>
      <c r="B115" s="203"/>
      <c r="D115" s="208"/>
      <c r="E115" s="99"/>
      <c r="F115" s="101">
        <f>IF(E115="","",LOOKUP(A115,'Jewelry calculations'!$A$3:$A$186,'Jewelry calculations'!$M$3:$M$186))</f>
      </c>
      <c r="H115" s="205"/>
      <c r="K115" s="211"/>
    </row>
    <row r="116" spans="1:11" s="204" customFormat="1" ht="30.75" customHeight="1">
      <c r="A116" s="203"/>
      <c r="B116" s="203"/>
      <c r="D116" s="208"/>
      <c r="E116" s="99"/>
      <c r="F116" s="101">
        <f>IF(E116="","",LOOKUP(A116,'Jewelry calculations'!$A$3:$A$186,'Jewelry calculations'!$M$3:$M$186))</f>
      </c>
      <c r="H116" s="205"/>
      <c r="K116" s="211"/>
    </row>
    <row r="117" spans="1:11" s="204" customFormat="1" ht="30.75" customHeight="1">
      <c r="A117" s="203"/>
      <c r="B117" s="203"/>
      <c r="D117" s="208"/>
      <c r="E117" s="99"/>
      <c r="F117" s="101">
        <f>IF(E117="","",LOOKUP(A117,'Jewelry calculations'!$A$3:$A$186,'Jewelry calculations'!$M$3:$M$186))</f>
      </c>
      <c r="H117" s="205"/>
      <c r="K117" s="211"/>
    </row>
    <row r="118" spans="1:11" s="204" customFormat="1" ht="21.75" customHeight="1">
      <c r="A118" s="203"/>
      <c r="B118" s="203"/>
      <c r="D118" s="208"/>
      <c r="E118" s="99"/>
      <c r="F118" s="101">
        <f>IF(E118="","",LOOKUP(A118,'Jewelry calculations'!$A$3:$A$186,'Jewelry calculations'!$M$3:$M$186))</f>
      </c>
      <c r="H118" s="205"/>
      <c r="K118" s="211"/>
    </row>
    <row r="119" spans="1:11" s="204" customFormat="1" ht="21.75" customHeight="1">
      <c r="A119" s="203"/>
      <c r="B119" s="203"/>
      <c r="D119" s="208"/>
      <c r="E119" s="99"/>
      <c r="F119" s="101">
        <f>IF(E119="","",LOOKUP(A119,'Jewelry calculations'!$A$3:$A$186,'Jewelry calculations'!$M$3:$M$186))</f>
      </c>
      <c r="H119" s="205"/>
      <c r="K119" s="211"/>
    </row>
    <row r="120" spans="1:11" s="204" customFormat="1" ht="21.75" customHeight="1">
      <c r="A120" s="203"/>
      <c r="B120" s="203"/>
      <c r="D120" s="208"/>
      <c r="E120" s="99"/>
      <c r="F120" s="101">
        <f>IF(E120="","",LOOKUP(A120,'Jewelry calculations'!$A$3:$A$186,'Jewelry calculations'!$M$3:$M$186))</f>
      </c>
      <c r="H120" s="205"/>
      <c r="K120" s="211"/>
    </row>
    <row r="121" spans="1:11" s="204" customFormat="1" ht="21.75" customHeight="1">
      <c r="A121" s="203"/>
      <c r="B121" s="203"/>
      <c r="D121" s="208"/>
      <c r="E121" s="99"/>
      <c r="F121" s="101">
        <f>IF(E121="","",LOOKUP(A121,'Jewelry calculations'!$A$3:$A$186,'Jewelry calculations'!$M$3:$M$186))</f>
      </c>
      <c r="H121" s="205"/>
      <c r="K121" s="211"/>
    </row>
    <row r="122" spans="1:11" s="204" customFormat="1" ht="21.75" customHeight="1">
      <c r="A122" s="203"/>
      <c r="B122" s="203"/>
      <c r="D122" s="208"/>
      <c r="E122" s="99"/>
      <c r="F122" s="101">
        <f>IF(E122="","",LOOKUP(A122,'Jewelry calculations'!$A$3:$A$186,'Jewelry calculations'!$M$3:$M$186))</f>
      </c>
      <c r="H122" s="205"/>
      <c r="K122" s="211"/>
    </row>
    <row r="123" spans="1:11" s="204" customFormat="1" ht="21.75" customHeight="1">
      <c r="A123" s="203"/>
      <c r="B123" s="203"/>
      <c r="D123" s="208"/>
      <c r="E123" s="99"/>
      <c r="F123" s="101">
        <f>IF(E123="","",LOOKUP(A123,'Jewelry calculations'!$A$3:$A$186,'Jewelry calculations'!$M$3:$M$186))</f>
      </c>
      <c r="H123" s="205"/>
      <c r="K123" s="211"/>
    </row>
    <row r="124" spans="1:11" s="204" customFormat="1" ht="21.75" customHeight="1">
      <c r="A124" s="203"/>
      <c r="B124" s="203"/>
      <c r="D124" s="208"/>
      <c r="F124" s="101">
        <f>IF(E124="","",LOOKUP(A124,'Jewelry calculations'!$A$3:$A$186,'Jewelry calculations'!$M$3:$M$186))</f>
      </c>
      <c r="H124" s="205"/>
      <c r="K124" s="211"/>
    </row>
    <row r="125" spans="1:11" s="204" customFormat="1" ht="21.75" customHeight="1">
      <c r="A125" s="203"/>
      <c r="B125" s="203"/>
      <c r="D125" s="208"/>
      <c r="F125" s="101">
        <f>IF(E125="","",LOOKUP(A125,'Jewelry calculations'!$A$3:$A$186,'Jewelry calculations'!$M$3:$M$186))</f>
      </c>
      <c r="H125" s="205"/>
      <c r="K125" s="211"/>
    </row>
    <row r="126" spans="1:11" s="204" customFormat="1" ht="21.75" customHeight="1">
      <c r="A126" s="203"/>
      <c r="B126" s="203"/>
      <c r="D126" s="208"/>
      <c r="F126" s="101">
        <f>IF(E126="","",LOOKUP(A126,'Jewelry calculations'!$A$3:$A$186,'Jewelry calculations'!$M$3:$M$186))</f>
      </c>
      <c r="H126" s="205"/>
      <c r="K126" s="211"/>
    </row>
    <row r="127" spans="1:11" s="204" customFormat="1" ht="21.75" customHeight="1">
      <c r="A127" s="203"/>
      <c r="B127" s="203"/>
      <c r="D127" s="208"/>
      <c r="F127" s="101">
        <f>IF(E127="","",LOOKUP(A127,'Jewelry calculations'!$A$3:$A$186,'Jewelry calculations'!$M$3:$M$186))</f>
      </c>
      <c r="H127" s="205"/>
      <c r="K127" s="211"/>
    </row>
    <row r="128" spans="1:11" s="204" customFormat="1" ht="21.75" customHeight="1">
      <c r="A128" s="203"/>
      <c r="B128" s="203"/>
      <c r="D128" s="208"/>
      <c r="F128" s="101">
        <f>IF(E128="","",LOOKUP(A128,'Jewelry calculations'!$A$3:$A$186,'Jewelry calculations'!$M$3:$M$186))</f>
      </c>
      <c r="H128" s="205"/>
      <c r="K128" s="211"/>
    </row>
    <row r="129" spans="1:11" s="204" customFormat="1" ht="21.75" customHeight="1">
      <c r="A129" s="203"/>
      <c r="B129" s="203"/>
      <c r="D129" s="208"/>
      <c r="F129" s="101">
        <f>IF(E129="","",LOOKUP(A129,'Jewelry calculations'!$A$3:$A$186,'Jewelry calculations'!$M$3:$M$186))</f>
      </c>
      <c r="H129" s="205"/>
      <c r="K129" s="211"/>
    </row>
    <row r="130" spans="1:11" s="204" customFormat="1" ht="21.75" customHeight="1">
      <c r="A130" s="203"/>
      <c r="B130" s="203"/>
      <c r="D130" s="208"/>
      <c r="F130" s="101">
        <f>IF(E130="","",LOOKUP(A130,'Jewelry calculations'!$A$3:$A$186,'Jewelry calculations'!$M$3:$M$186))</f>
      </c>
      <c r="H130" s="205"/>
      <c r="K130" s="211"/>
    </row>
    <row r="131" spans="1:11" s="204" customFormat="1" ht="21.75" customHeight="1">
      <c r="A131" s="203"/>
      <c r="B131" s="203"/>
      <c r="D131" s="208"/>
      <c r="F131" s="101">
        <f>IF(E131="","",LOOKUP(A131,'Jewelry calculations'!$A$3:$A$186,'Jewelry calculations'!$M$3:$M$186))</f>
      </c>
      <c r="H131" s="205"/>
      <c r="K131" s="211"/>
    </row>
    <row r="132" spans="1:11" s="204" customFormat="1" ht="21.75" customHeight="1">
      <c r="A132" s="203"/>
      <c r="B132" s="203"/>
      <c r="D132" s="208"/>
      <c r="F132" s="101">
        <f>IF(E132="","",LOOKUP(A132,'Jewelry calculations'!$A$3:$A$186,'Jewelry calculations'!$M$3:$M$186))</f>
      </c>
      <c r="H132" s="205"/>
      <c r="K132" s="211"/>
    </row>
    <row r="133" spans="1:11" s="204" customFormat="1" ht="21.75" customHeight="1">
      <c r="A133" s="203"/>
      <c r="B133" s="203"/>
      <c r="D133" s="208"/>
      <c r="F133" s="101">
        <f>IF(E133="","",LOOKUP(A133,'Jewelry calculations'!$A$3:$A$186,'Jewelry calculations'!$M$3:$M$186))</f>
      </c>
      <c r="H133" s="205"/>
      <c r="K133" s="211"/>
    </row>
    <row r="134" spans="1:11" s="204" customFormat="1" ht="21.75" customHeight="1">
      <c r="A134" s="203"/>
      <c r="B134" s="203"/>
      <c r="D134" s="208"/>
      <c r="F134" s="101">
        <f>IF(E134="","",LOOKUP(A134,'Jewelry calculations'!$A$3:$A$186,'Jewelry calculations'!$M$3:$M$186))</f>
      </c>
      <c r="H134" s="205"/>
      <c r="K134" s="211"/>
    </row>
    <row r="135" spans="1:11" s="204" customFormat="1" ht="21.75" customHeight="1">
      <c r="A135" s="203"/>
      <c r="B135" s="203"/>
      <c r="D135" s="208"/>
      <c r="F135" s="101">
        <f>IF(E135="","",LOOKUP(A135,'Jewelry calculations'!$A$3:$A$186,'Jewelry calculations'!$M$3:$M$186))</f>
      </c>
      <c r="H135" s="205"/>
      <c r="K135" s="211"/>
    </row>
    <row r="136" spans="1:11" s="204" customFormat="1" ht="21.75" customHeight="1">
      <c r="A136" s="203"/>
      <c r="B136" s="203"/>
      <c r="D136" s="208"/>
      <c r="F136" s="101">
        <f>IF(E136="","",LOOKUP(A136,'Jewelry calculations'!$A$3:$A$186,'Jewelry calculations'!$M$3:$M$186))</f>
      </c>
      <c r="H136" s="205"/>
      <c r="K136" s="211"/>
    </row>
    <row r="137" spans="1:11" s="204" customFormat="1" ht="21.75" customHeight="1">
      <c r="A137" s="203"/>
      <c r="B137" s="203"/>
      <c r="D137" s="208"/>
      <c r="F137" s="101">
        <f>IF(E137="","",LOOKUP(A137,'Jewelry calculations'!$A$3:$A$186,'Jewelry calculations'!$M$3:$M$186))</f>
      </c>
      <c r="H137" s="205"/>
      <c r="K137" s="211"/>
    </row>
    <row r="138" spans="1:11" s="204" customFormat="1" ht="21.75" customHeight="1">
      <c r="A138" s="203"/>
      <c r="B138" s="203"/>
      <c r="D138" s="208"/>
      <c r="F138" s="101">
        <f>IF(E138="","",LOOKUP(A138,'Jewelry calculations'!$A$3:$A$186,'Jewelry calculations'!$M$3:$M$186))</f>
      </c>
      <c r="H138" s="205"/>
      <c r="K138" s="211"/>
    </row>
    <row r="139" spans="1:11" s="204" customFormat="1" ht="21.75" customHeight="1">
      <c r="A139" s="203"/>
      <c r="B139" s="203"/>
      <c r="D139" s="208"/>
      <c r="F139" s="101">
        <f>IF(E139="","",LOOKUP(A139,'Jewelry calculations'!$A$3:$A$186,'Jewelry calculations'!$M$3:$M$186))</f>
      </c>
      <c r="H139" s="205"/>
      <c r="K139" s="211"/>
    </row>
    <row r="140" spans="1:11" s="204" customFormat="1" ht="21.75" customHeight="1">
      <c r="A140" s="203"/>
      <c r="B140" s="203"/>
      <c r="D140" s="208"/>
      <c r="F140" s="101">
        <f>IF(E140="","",LOOKUP(A140,'Jewelry calculations'!$A$3:$A$186,'Jewelry calculations'!$M$3:$M$186))</f>
      </c>
      <c r="H140" s="205"/>
      <c r="K140" s="211"/>
    </row>
    <row r="141" spans="1:11" s="204" customFormat="1" ht="21.75" customHeight="1">
      <c r="A141" s="203"/>
      <c r="B141" s="203"/>
      <c r="D141" s="208"/>
      <c r="F141" s="101">
        <f>IF(E141="","",LOOKUP(A141,'Jewelry calculations'!$A$3:$A$186,'Jewelry calculations'!$M$3:$M$186))</f>
      </c>
      <c r="H141" s="205"/>
      <c r="K141" s="211"/>
    </row>
    <row r="142" spans="1:11" s="204" customFormat="1" ht="21.75" customHeight="1">
      <c r="A142" s="203"/>
      <c r="B142" s="203"/>
      <c r="D142" s="208"/>
      <c r="F142" s="101">
        <f>IF(E142="","",LOOKUP(A142,'Jewelry calculations'!$A$3:$A$186,'Jewelry calculations'!$M$3:$M$186))</f>
      </c>
      <c r="H142" s="205"/>
      <c r="K142" s="211"/>
    </row>
    <row r="143" spans="1:11" s="204" customFormat="1" ht="21.75" customHeight="1">
      <c r="A143" s="203"/>
      <c r="B143" s="203"/>
      <c r="D143" s="208"/>
      <c r="F143" s="101">
        <f>IF(E143="","",LOOKUP(A143,'Jewelry calculations'!$A$3:$A$186,'Jewelry calculations'!$M$3:$M$186))</f>
      </c>
      <c r="H143" s="205"/>
      <c r="K143" s="211"/>
    </row>
    <row r="144" spans="1:11" s="204" customFormat="1" ht="21.75" customHeight="1">
      <c r="A144" s="203"/>
      <c r="B144" s="203"/>
      <c r="D144" s="208"/>
      <c r="F144" s="101">
        <f>IF(E144="","",LOOKUP(A144,'Jewelry calculations'!$A$3:$A$186,'Jewelry calculations'!$M$3:$M$186))</f>
      </c>
      <c r="H144" s="205"/>
      <c r="K144" s="211"/>
    </row>
    <row r="145" spans="1:11" s="204" customFormat="1" ht="21.75" customHeight="1">
      <c r="A145" s="203"/>
      <c r="B145" s="203"/>
      <c r="D145" s="208"/>
      <c r="F145" s="101">
        <f>IF(E145="","",LOOKUP(A145,'Jewelry calculations'!$A$3:$A$186,'Jewelry calculations'!$M$3:$M$186))</f>
      </c>
      <c r="H145" s="205"/>
      <c r="K145" s="211"/>
    </row>
    <row r="146" spans="1:11" s="204" customFormat="1" ht="21.75" customHeight="1">
      <c r="A146" s="203"/>
      <c r="B146" s="203"/>
      <c r="D146" s="208"/>
      <c r="F146" s="101">
        <f>IF(E146="","",LOOKUP(A146,'Jewelry calculations'!$A$3:$A$186,'Jewelry calculations'!$M$3:$M$186))</f>
      </c>
      <c r="H146" s="205"/>
      <c r="K146" s="211"/>
    </row>
    <row r="147" spans="1:11" s="204" customFormat="1" ht="21.75" customHeight="1">
      <c r="A147" s="203"/>
      <c r="B147" s="203"/>
      <c r="D147" s="208"/>
      <c r="F147" s="101">
        <f>IF(E147="","",LOOKUP(A147,'Jewelry calculations'!$A$3:$A$186,'Jewelry calculations'!$M$3:$M$186))</f>
      </c>
      <c r="H147" s="205"/>
      <c r="K147" s="211"/>
    </row>
    <row r="148" spans="1:11" s="204" customFormat="1" ht="21.75" customHeight="1">
      <c r="A148" s="203"/>
      <c r="B148" s="203"/>
      <c r="D148" s="208"/>
      <c r="F148" s="101">
        <f>IF(E148="","",LOOKUP(A148,'Jewelry calculations'!$A$3:$A$186,'Jewelry calculations'!$M$3:$M$186))</f>
      </c>
      <c r="H148" s="205"/>
      <c r="K148" s="211"/>
    </row>
    <row r="149" spans="1:11" s="204" customFormat="1" ht="21.75" customHeight="1">
      <c r="A149" s="203"/>
      <c r="B149" s="203"/>
      <c r="D149" s="208"/>
      <c r="F149" s="101">
        <f>IF(E149="","",LOOKUP(A149,'Jewelry calculations'!$A$3:$A$186,'Jewelry calculations'!$M$3:$M$186))</f>
      </c>
      <c r="H149" s="205"/>
      <c r="K149" s="211"/>
    </row>
    <row r="150" spans="1:11" s="204" customFormat="1" ht="21.75" customHeight="1">
      <c r="A150" s="203"/>
      <c r="B150" s="203"/>
      <c r="D150" s="208"/>
      <c r="F150" s="101">
        <f>IF(E150="","",LOOKUP(A150,'Jewelry calculations'!$A$3:$A$186,'Jewelry calculations'!$M$3:$M$186))</f>
      </c>
      <c r="H150" s="205"/>
      <c r="K150" s="211"/>
    </row>
    <row r="151" spans="1:11" s="204" customFormat="1" ht="21.75" customHeight="1">
      <c r="A151" s="203"/>
      <c r="B151" s="203"/>
      <c r="D151" s="208"/>
      <c r="F151" s="101">
        <f>IF(E151="","",LOOKUP(A151,'Jewelry calculations'!$A$3:$A$186,'Jewelry calculations'!$M$3:$M$186))</f>
      </c>
      <c r="H151" s="205"/>
      <c r="K151" s="211"/>
    </row>
    <row r="152" spans="1:11" s="204" customFormat="1" ht="21.75" customHeight="1">
      <c r="A152" s="203"/>
      <c r="B152" s="203"/>
      <c r="D152" s="208"/>
      <c r="F152" s="101">
        <f>IF(E152="","",LOOKUP(A152,'Jewelry calculations'!$A$3:$A$186,'Jewelry calculations'!$M$3:$M$186))</f>
      </c>
      <c r="H152" s="205"/>
      <c r="K152" s="211"/>
    </row>
    <row r="153" spans="1:11" s="204" customFormat="1" ht="21.75" customHeight="1">
      <c r="A153" s="203"/>
      <c r="B153" s="203"/>
      <c r="D153" s="208"/>
      <c r="F153" s="101">
        <f>IF(E153="","",LOOKUP(A153,'Jewelry calculations'!$A$3:$A$186,'Jewelry calculations'!$M$3:$M$186))</f>
      </c>
      <c r="H153" s="205"/>
      <c r="K153" s="211"/>
    </row>
    <row r="154" spans="1:11" s="204" customFormat="1" ht="21.75" customHeight="1">
      <c r="A154" s="203"/>
      <c r="B154" s="203"/>
      <c r="D154" s="208"/>
      <c r="F154" s="101">
        <f>IF(E154="","",LOOKUP(A154,'Jewelry calculations'!$A$3:$A$186,'Jewelry calculations'!$M$3:$M$186))</f>
      </c>
      <c r="H154" s="205"/>
      <c r="K154" s="211"/>
    </row>
    <row r="155" spans="1:11" s="204" customFormat="1" ht="21.75" customHeight="1">
      <c r="A155" s="203"/>
      <c r="B155" s="203"/>
      <c r="D155" s="208"/>
      <c r="F155" s="101">
        <f>IF(E155="","",LOOKUP(A155,'Jewelry calculations'!$A$3:$A$186,'Jewelry calculations'!$M$3:$M$186))</f>
      </c>
      <c r="H155" s="205"/>
      <c r="K155" s="211"/>
    </row>
    <row r="156" spans="1:11" s="204" customFormat="1" ht="21.75" customHeight="1">
      <c r="A156" s="203"/>
      <c r="B156" s="203"/>
      <c r="D156" s="208"/>
      <c r="F156" s="101">
        <f>IF(E156="","",LOOKUP(A156,'Jewelry calculations'!$A$3:$A$186,'Jewelry calculations'!$M$3:$M$186))</f>
      </c>
      <c r="H156" s="205"/>
      <c r="K156" s="211"/>
    </row>
    <row r="157" spans="1:11" s="204" customFormat="1" ht="21.75" customHeight="1">
      <c r="A157" s="203"/>
      <c r="B157" s="203"/>
      <c r="D157" s="208"/>
      <c r="H157" s="205"/>
      <c r="K157" s="211"/>
    </row>
    <row r="158" spans="1:11" s="204" customFormat="1" ht="21.75" customHeight="1">
      <c r="A158" s="203"/>
      <c r="B158" s="203"/>
      <c r="D158" s="208"/>
      <c r="H158" s="205"/>
      <c r="K158" s="211"/>
    </row>
    <row r="159" spans="1:11" s="204" customFormat="1" ht="21.75" customHeight="1">
      <c r="A159" s="203"/>
      <c r="B159" s="203"/>
      <c r="D159" s="208"/>
      <c r="H159" s="205"/>
      <c r="K159" s="211"/>
    </row>
    <row r="160" spans="1:11" s="204" customFormat="1" ht="21.75" customHeight="1">
      <c r="A160" s="203"/>
      <c r="B160" s="203"/>
      <c r="D160" s="208"/>
      <c r="H160" s="205"/>
      <c r="K160" s="211"/>
    </row>
    <row r="161" spans="1:11" s="204" customFormat="1" ht="21.75" customHeight="1">
      <c r="A161" s="203"/>
      <c r="B161" s="203"/>
      <c r="D161" s="208"/>
      <c r="H161" s="205"/>
      <c r="K161" s="211"/>
    </row>
    <row r="162" spans="1:11" s="204" customFormat="1" ht="21.75" customHeight="1">
      <c r="A162" s="203"/>
      <c r="B162" s="203"/>
      <c r="D162" s="208"/>
      <c r="H162" s="205"/>
      <c r="K162" s="211"/>
    </row>
    <row r="163" spans="1:11" s="204" customFormat="1" ht="21.75" customHeight="1">
      <c r="A163" s="203"/>
      <c r="B163" s="203"/>
      <c r="D163" s="208"/>
      <c r="H163" s="205"/>
      <c r="K163" s="211"/>
    </row>
    <row r="164" spans="1:11" s="204" customFormat="1" ht="21.75" customHeight="1">
      <c r="A164" s="203"/>
      <c r="B164" s="203"/>
      <c r="D164" s="208"/>
      <c r="H164" s="205"/>
      <c r="K164" s="211"/>
    </row>
    <row r="165" spans="1:11" s="204" customFormat="1" ht="21.75" customHeight="1">
      <c r="A165" s="203"/>
      <c r="B165" s="203"/>
      <c r="D165" s="208"/>
      <c r="H165" s="205"/>
      <c r="K165" s="211"/>
    </row>
    <row r="166" spans="1:11" s="204" customFormat="1" ht="21.75" customHeight="1">
      <c r="A166" s="203"/>
      <c r="B166" s="203"/>
      <c r="D166" s="208"/>
      <c r="H166" s="205"/>
      <c r="K166" s="211"/>
    </row>
    <row r="167" spans="1:11" s="204" customFormat="1" ht="21.75" customHeight="1">
      <c r="A167" s="203"/>
      <c r="B167" s="203"/>
      <c r="D167" s="208"/>
      <c r="H167" s="205"/>
      <c r="K167" s="211"/>
    </row>
    <row r="168" spans="1:11" s="204" customFormat="1" ht="21.75" customHeight="1">
      <c r="A168" s="203"/>
      <c r="B168" s="203"/>
      <c r="D168" s="208"/>
      <c r="H168" s="205"/>
      <c r="K168" s="211"/>
    </row>
    <row r="169" spans="1:11" s="204" customFormat="1" ht="21.75" customHeight="1">
      <c r="A169" s="203"/>
      <c r="B169" s="203"/>
      <c r="D169" s="208"/>
      <c r="H169" s="205"/>
      <c r="K169" s="211"/>
    </row>
    <row r="170" spans="1:11" s="204" customFormat="1" ht="21.75" customHeight="1">
      <c r="A170" s="203"/>
      <c r="B170" s="203"/>
      <c r="D170" s="208"/>
      <c r="H170" s="205"/>
      <c r="K170" s="211"/>
    </row>
    <row r="171" spans="1:11" s="204" customFormat="1" ht="21.75" customHeight="1">
      <c r="A171" s="203"/>
      <c r="B171" s="203"/>
      <c r="D171" s="208"/>
      <c r="H171" s="205"/>
      <c r="K171" s="211"/>
    </row>
    <row r="172" spans="1:11" s="204" customFormat="1" ht="21.75" customHeight="1">
      <c r="A172" s="203"/>
      <c r="B172" s="203"/>
      <c r="D172" s="208"/>
      <c r="H172" s="205"/>
      <c r="K172" s="211"/>
    </row>
    <row r="173" spans="1:11" s="204" customFormat="1" ht="21.75" customHeight="1">
      <c r="A173" s="203"/>
      <c r="B173" s="203"/>
      <c r="D173" s="208"/>
      <c r="H173" s="205"/>
      <c r="K173" s="211"/>
    </row>
    <row r="174" spans="1:11" s="204" customFormat="1" ht="21.75" customHeight="1">
      <c r="A174" s="203"/>
      <c r="B174" s="203"/>
      <c r="D174" s="208"/>
      <c r="H174" s="205"/>
      <c r="K174" s="211"/>
    </row>
    <row r="175" spans="1:11" s="204" customFormat="1" ht="21.75" customHeight="1">
      <c r="A175" s="203"/>
      <c r="B175" s="203"/>
      <c r="D175" s="208"/>
      <c r="H175" s="205"/>
      <c r="K175" s="211"/>
    </row>
    <row r="176" spans="1:11" s="204" customFormat="1" ht="21.75" customHeight="1">
      <c r="A176" s="203"/>
      <c r="B176" s="203"/>
      <c r="D176" s="208"/>
      <c r="H176" s="205"/>
      <c r="K176" s="211"/>
    </row>
    <row r="177" spans="1:11" s="204" customFormat="1" ht="21.75" customHeight="1">
      <c r="A177" s="203"/>
      <c r="B177" s="203"/>
      <c r="D177" s="208"/>
      <c r="H177" s="205"/>
      <c r="K177" s="211"/>
    </row>
    <row r="178" spans="1:11" s="204" customFormat="1" ht="21.75" customHeight="1">
      <c r="A178" s="203"/>
      <c r="B178" s="203"/>
      <c r="D178" s="208"/>
      <c r="H178" s="205"/>
      <c r="K178" s="211"/>
    </row>
    <row r="179" spans="1:11" s="204" customFormat="1" ht="21.75" customHeight="1">
      <c r="A179" s="203"/>
      <c r="B179" s="203"/>
      <c r="D179" s="208"/>
      <c r="H179" s="205"/>
      <c r="K179" s="211"/>
    </row>
    <row r="180" spans="1:11" s="204" customFormat="1" ht="21.75" customHeight="1">
      <c r="A180" s="203"/>
      <c r="B180" s="203"/>
      <c r="D180" s="208"/>
      <c r="H180" s="205"/>
      <c r="K180" s="211"/>
    </row>
    <row r="181" spans="1:11" s="204" customFormat="1" ht="21.75" customHeight="1">
      <c r="A181" s="203"/>
      <c r="B181" s="203"/>
      <c r="D181" s="208"/>
      <c r="H181" s="205"/>
      <c r="K181" s="211"/>
    </row>
    <row r="182" spans="1:11" s="204" customFormat="1" ht="21.75" customHeight="1">
      <c r="A182" s="203"/>
      <c r="B182" s="203"/>
      <c r="D182" s="208"/>
      <c r="H182" s="205"/>
      <c r="K182" s="211"/>
    </row>
    <row r="183" spans="1:11" s="204" customFormat="1" ht="21.75" customHeight="1">
      <c r="A183" s="203"/>
      <c r="B183" s="203"/>
      <c r="D183" s="208"/>
      <c r="H183" s="205"/>
      <c r="K183" s="211"/>
    </row>
    <row r="184" spans="1:11" s="204" customFormat="1" ht="21.75" customHeight="1">
      <c r="A184" s="203"/>
      <c r="B184" s="203"/>
      <c r="D184" s="208"/>
      <c r="H184" s="205"/>
      <c r="K184" s="211"/>
    </row>
    <row r="185" spans="1:11" s="204" customFormat="1" ht="21.75" customHeight="1">
      <c r="A185" s="203"/>
      <c r="B185" s="203"/>
      <c r="D185" s="208"/>
      <c r="H185" s="205"/>
      <c r="K185" s="211"/>
    </row>
    <row r="186" spans="1:11" s="204" customFormat="1" ht="21.75" customHeight="1">
      <c r="A186" s="203"/>
      <c r="B186" s="203"/>
      <c r="D186" s="208"/>
      <c r="H186" s="205"/>
      <c r="K186" s="211"/>
    </row>
    <row r="187" spans="1:11" s="204" customFormat="1" ht="21.75" customHeight="1">
      <c r="A187" s="203"/>
      <c r="B187" s="203"/>
      <c r="D187" s="208"/>
      <c r="H187" s="205"/>
      <c r="K187" s="211"/>
    </row>
    <row r="188" spans="1:11" s="204" customFormat="1" ht="21.75" customHeight="1">
      <c r="A188" s="203"/>
      <c r="B188" s="203"/>
      <c r="D188" s="208"/>
      <c r="H188" s="205"/>
      <c r="K188" s="211"/>
    </row>
    <row r="189" spans="1:11" s="204" customFormat="1" ht="21.75" customHeight="1">
      <c r="A189" s="203"/>
      <c r="B189" s="203"/>
      <c r="D189" s="208"/>
      <c r="H189" s="205"/>
      <c r="K189" s="211"/>
    </row>
    <row r="190" spans="1:11" s="204" customFormat="1" ht="21.75" customHeight="1">
      <c r="A190" s="203"/>
      <c r="B190" s="203"/>
      <c r="D190" s="208"/>
      <c r="H190" s="205"/>
      <c r="K190" s="211"/>
    </row>
    <row r="191" spans="1:11" s="204" customFormat="1" ht="21.75" customHeight="1">
      <c r="A191" s="203"/>
      <c r="B191" s="203"/>
      <c r="D191" s="208"/>
      <c r="H191" s="205"/>
      <c r="K191" s="211"/>
    </row>
    <row r="192" spans="1:11" s="204" customFormat="1" ht="21.75" customHeight="1">
      <c r="A192" s="203"/>
      <c r="B192" s="203"/>
      <c r="D192" s="208"/>
      <c r="H192" s="205"/>
      <c r="K192" s="211"/>
    </row>
    <row r="193" spans="1:11" s="204" customFormat="1" ht="21.75" customHeight="1">
      <c r="A193" s="203"/>
      <c r="B193" s="203"/>
      <c r="D193" s="208"/>
      <c r="H193" s="205"/>
      <c r="K193" s="211"/>
    </row>
    <row r="194" spans="1:11" s="204" customFormat="1" ht="21.75" customHeight="1">
      <c r="A194" s="203"/>
      <c r="B194" s="203"/>
      <c r="D194" s="208"/>
      <c r="H194" s="205"/>
      <c r="K194" s="211"/>
    </row>
    <row r="195" spans="1:11" s="204" customFormat="1" ht="21.75" customHeight="1">
      <c r="A195" s="203"/>
      <c r="B195" s="203"/>
      <c r="D195" s="208"/>
      <c r="H195" s="205"/>
      <c r="K195" s="211"/>
    </row>
    <row r="196" spans="1:11" s="204" customFormat="1" ht="21.75" customHeight="1">
      <c r="A196" s="203"/>
      <c r="B196" s="203"/>
      <c r="D196" s="208"/>
      <c r="H196" s="205"/>
      <c r="K196" s="211"/>
    </row>
    <row r="197" spans="1:11" s="204" customFormat="1" ht="21.75" customHeight="1">
      <c r="A197" s="203"/>
      <c r="B197" s="203"/>
      <c r="D197" s="208"/>
      <c r="H197" s="205"/>
      <c r="K197" s="211"/>
    </row>
    <row r="198" spans="1:11" s="204" customFormat="1" ht="21.75" customHeight="1">
      <c r="A198" s="203"/>
      <c r="B198" s="203"/>
      <c r="D198" s="208"/>
      <c r="H198" s="205"/>
      <c r="K198" s="211"/>
    </row>
    <row r="199" spans="1:11" s="204" customFormat="1" ht="21.75" customHeight="1">
      <c r="A199" s="203"/>
      <c r="B199" s="203"/>
      <c r="D199" s="208"/>
      <c r="H199" s="205"/>
      <c r="K199" s="211"/>
    </row>
    <row r="200" spans="1:11" s="204" customFormat="1" ht="21.75" customHeight="1">
      <c r="A200" s="203"/>
      <c r="B200" s="203"/>
      <c r="D200" s="208"/>
      <c r="H200" s="205"/>
      <c r="K200" s="211"/>
    </row>
  </sheetData>
  <mergeCells count="5">
    <mergeCell ref="I2:I3"/>
    <mergeCell ref="H2:H3"/>
    <mergeCell ref="K2:K3"/>
    <mergeCell ref="L2:L3"/>
    <mergeCell ref="J2:J3"/>
  </mergeCells>
  <printOptions/>
  <pageMargins left="0.75" right="0.75" top="1" bottom="1" header="0.5" footer="0.5"/>
  <pageSetup horizontalDpi="2540" verticalDpi="254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S836"/>
  <sheetViews>
    <sheetView workbookViewId="0" topLeftCell="A1">
      <pane xSplit="2" ySplit="2" topLeftCell="J1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58" sqref="M140:M158"/>
    </sheetView>
  </sheetViews>
  <sheetFormatPr defaultColWidth="9.140625" defaultRowHeight="12.75"/>
  <cols>
    <col min="1" max="1" width="3.7109375" style="200" customWidth="1"/>
    <col min="2" max="2" width="12.8515625" style="115" bestFit="1" customWidth="1"/>
    <col min="3" max="3" width="18.28125" style="115" customWidth="1"/>
    <col min="4" max="5" width="9.140625" style="200" customWidth="1"/>
    <col min="6" max="6" width="12.8515625" style="115" bestFit="1" customWidth="1"/>
    <col min="7" max="8" width="9.140625" style="201" customWidth="1"/>
    <col min="9" max="9" width="5.00390625" style="201" customWidth="1"/>
    <col min="10" max="10" width="20.00390625" style="115" customWidth="1"/>
    <col min="11" max="12" width="19.00390625" style="115" customWidth="1"/>
    <col min="13" max="13" width="54.8515625" style="115" customWidth="1"/>
    <col min="14" max="17" width="9.140625" style="200" customWidth="1"/>
    <col min="18" max="18" width="9.140625" style="115" customWidth="1"/>
    <col min="19" max="19" width="9.140625" style="204" customWidth="1"/>
    <col min="20" max="16384" width="9.140625" style="115" customWidth="1"/>
  </cols>
  <sheetData>
    <row r="1" spans="4:19" ht="12.75" customHeight="1">
      <c r="D1" s="222" t="s">
        <v>77</v>
      </c>
      <c r="E1" s="222"/>
      <c r="G1" s="223" t="s">
        <v>326</v>
      </c>
      <c r="H1" s="223"/>
      <c r="I1" s="119"/>
      <c r="J1" s="220" t="s">
        <v>68</v>
      </c>
      <c r="K1" s="220" t="s">
        <v>72</v>
      </c>
      <c r="L1" s="220" t="s">
        <v>73</v>
      </c>
      <c r="N1" s="220" t="str">
        <f>'Gem types'!I2</f>
        <v>Modifier roll</v>
      </c>
      <c r="O1" s="220" t="str">
        <f>'Gem types'!J2</f>
        <v>% Modifier</v>
      </c>
      <c r="P1" s="220" t="str">
        <f>'Gem types'!K2</f>
        <v>Size</v>
      </c>
      <c r="Q1" s="220" t="str">
        <f>'Gem types'!L2</f>
        <v>Quality</v>
      </c>
      <c r="S1" s="207" t="s">
        <v>336</v>
      </c>
    </row>
    <row r="2" spans="1:18" ht="10.5">
      <c r="A2" s="120"/>
      <c r="B2" s="120" t="s">
        <v>62</v>
      </c>
      <c r="C2" s="120" t="s">
        <v>246</v>
      </c>
      <c r="D2" s="120" t="s">
        <v>331</v>
      </c>
      <c r="E2" s="120" t="s">
        <v>332</v>
      </c>
      <c r="F2" s="120" t="s">
        <v>307</v>
      </c>
      <c r="G2" s="119" t="s">
        <v>324</v>
      </c>
      <c r="H2" s="119" t="s">
        <v>325</v>
      </c>
      <c r="I2" s="119"/>
      <c r="J2" s="220"/>
      <c r="K2" s="220"/>
      <c r="L2" s="220"/>
      <c r="M2" s="120" t="s">
        <v>19</v>
      </c>
      <c r="N2" s="220"/>
      <c r="O2" s="220"/>
      <c r="P2" s="220"/>
      <c r="Q2" s="220"/>
      <c r="R2" s="116"/>
    </row>
    <row r="3" spans="1:17" s="204" customFormat="1" ht="21" customHeight="1">
      <c r="A3" s="203">
        <v>1</v>
      </c>
      <c r="B3" s="204" t="s">
        <v>310</v>
      </c>
      <c r="D3" s="203">
        <v>0</v>
      </c>
      <c r="E3" s="203">
        <v>0</v>
      </c>
      <c r="F3" s="204" t="s">
        <v>311</v>
      </c>
      <c r="G3" s="205">
        <v>1</v>
      </c>
      <c r="H3" s="205">
        <v>1</v>
      </c>
      <c r="I3" s="205">
        <v>0</v>
      </c>
      <c r="J3" s="204" t="s">
        <v>67</v>
      </c>
      <c r="K3" s="101">
        <f>IF(I3=0,"",LOOKUP(I3,'Gem types'!$B$3:$B$55,'Gem types'!$D$3:$D$55))</f>
      </c>
      <c r="L3" s="101">
        <f>IF(I3=0,"",LOOKUP(I3,'Gem types'!$B$3:$B$55,'Gem types'!$F$3:$F$55))</f>
      </c>
      <c r="M3" s="101" t="s">
        <v>16</v>
      </c>
      <c r="N3" s="203">
        <f>'Gem types'!I3</f>
        <v>1</v>
      </c>
      <c r="O3" s="203">
        <f>'Gem types'!J3</f>
        <v>20</v>
      </c>
      <c r="P3" s="203" t="str">
        <f>'Gem types'!K3</f>
        <v>huge</v>
      </c>
      <c r="Q3" s="203" t="str">
        <f>'Gem types'!L3</f>
        <v>exquisite</v>
      </c>
    </row>
    <row r="4" spans="1:17" s="204" customFormat="1" ht="21" customHeight="1">
      <c r="A4" s="203">
        <v>2</v>
      </c>
      <c r="B4" s="204" t="s">
        <v>310</v>
      </c>
      <c r="D4" s="203">
        <v>0</v>
      </c>
      <c r="E4" s="203">
        <v>0</v>
      </c>
      <c r="F4" s="204" t="s">
        <v>312</v>
      </c>
      <c r="G4" s="205">
        <v>1</v>
      </c>
      <c r="H4" s="205">
        <v>2</v>
      </c>
      <c r="I4" s="205">
        <v>0</v>
      </c>
      <c r="J4" s="204" t="s">
        <v>67</v>
      </c>
      <c r="K4" s="101">
        <f>IF(I4=0,"",LOOKUP(I4,'Gem types'!$B$3:$B$55,'Gem types'!$D$3:$D$55))</f>
      </c>
      <c r="L4" s="101">
        <f>IF(I4=0,"",LOOKUP(I4,'Gem types'!$B$3:$B$55,'Gem types'!$F$3:$F$55))</f>
      </c>
      <c r="M4" s="101" t="s">
        <v>16</v>
      </c>
      <c r="N4" s="203">
        <f>'Gem types'!I4</f>
        <v>2</v>
      </c>
      <c r="O4" s="203">
        <f>'Gem types'!J4</f>
        <v>10</v>
      </c>
      <c r="P4" s="203" t="str">
        <f>'Gem types'!K4</f>
        <v>huge</v>
      </c>
      <c r="Q4" s="203" t="str">
        <f>'Gem types'!L4</f>
        <v>perfect</v>
      </c>
    </row>
    <row r="5" spans="1:17" s="204" customFormat="1" ht="21" customHeight="1">
      <c r="A5" s="203">
        <v>3</v>
      </c>
      <c r="B5" s="204" t="s">
        <v>310</v>
      </c>
      <c r="D5" s="203">
        <v>0</v>
      </c>
      <c r="E5" s="203">
        <v>0</v>
      </c>
      <c r="F5" s="204" t="s">
        <v>313</v>
      </c>
      <c r="G5" s="205">
        <v>1</v>
      </c>
      <c r="H5" s="205">
        <v>3</v>
      </c>
      <c r="I5" s="205">
        <v>0</v>
      </c>
      <c r="J5" s="204" t="s">
        <v>67</v>
      </c>
      <c r="K5" s="101">
        <f>IF(I5=0,"",LOOKUP(I5,'Gem types'!$B$3:$B$55,'Gem types'!$D$3:$D$55))</f>
      </c>
      <c r="L5" s="101">
        <f>IF(I5=0,"",LOOKUP(I5,'Gem types'!$B$3:$B$55,'Gem types'!$F$3:$F$55))</f>
      </c>
      <c r="M5" s="101" t="s">
        <v>16</v>
      </c>
      <c r="N5" s="203">
        <f>'Gem types'!I5</f>
        <v>3</v>
      </c>
      <c r="O5" s="203">
        <f>'Gem types'!J5</f>
        <v>5</v>
      </c>
      <c r="P5" s="203" t="str">
        <f>'Gem types'!K5</f>
        <v>very large</v>
      </c>
      <c r="Q5" s="203" t="str">
        <f>'Gem types'!L5</f>
        <v>fine</v>
      </c>
    </row>
    <row r="6" spans="1:17" s="204" customFormat="1" ht="21" customHeight="1">
      <c r="A6" s="203">
        <v>4</v>
      </c>
      <c r="B6" s="204" t="s">
        <v>310</v>
      </c>
      <c r="D6" s="203">
        <v>0</v>
      </c>
      <c r="E6" s="203">
        <v>0</v>
      </c>
      <c r="F6" s="204" t="s">
        <v>314</v>
      </c>
      <c r="G6" s="205">
        <v>1</v>
      </c>
      <c r="H6" s="205">
        <v>4</v>
      </c>
      <c r="I6" s="205">
        <v>0</v>
      </c>
      <c r="J6" s="204" t="s">
        <v>67</v>
      </c>
      <c r="K6" s="101">
        <f>IF(I6=0,"",LOOKUP(I6,'Gem types'!$B$3:$B$55,'Gem types'!$D$3:$D$55))</f>
      </c>
      <c r="L6" s="101">
        <f>IF(I6=0,"",LOOKUP(I6,'Gem types'!$B$3:$B$55,'Gem types'!$F$3:$F$55))</f>
      </c>
      <c r="M6" s="101" t="s">
        <v>16</v>
      </c>
      <c r="N6" s="203">
        <f>'Gem types'!I6</f>
        <v>4</v>
      </c>
      <c r="O6" s="203">
        <f>'Gem types'!J6</f>
        <v>2</v>
      </c>
      <c r="P6" s="203" t="str">
        <f>'Gem types'!K6</f>
        <v>very large</v>
      </c>
      <c r="Q6" s="203" t="str">
        <f>'Gem types'!L6</f>
        <v>fine</v>
      </c>
    </row>
    <row r="7" spans="1:17" s="204" customFormat="1" ht="21" customHeight="1">
      <c r="A7" s="203">
        <v>5</v>
      </c>
      <c r="B7" s="204" t="s">
        <v>310</v>
      </c>
      <c r="D7" s="203">
        <v>0</v>
      </c>
      <c r="E7" s="203">
        <v>0</v>
      </c>
      <c r="F7" s="204" t="s">
        <v>315</v>
      </c>
      <c r="G7" s="205">
        <v>1</v>
      </c>
      <c r="H7" s="205">
        <v>5</v>
      </c>
      <c r="I7" s="205">
        <v>0</v>
      </c>
      <c r="J7" s="204" t="s">
        <v>67</v>
      </c>
      <c r="K7" s="101">
        <f>IF(I7=0,"",LOOKUP(I7,'Gem types'!$B$3:$B$55,'Gem types'!$D$3:$D$55))</f>
      </c>
      <c r="L7" s="101">
        <f>IF(I7=0,"",LOOKUP(I7,'Gem types'!$B$3:$B$55,'Gem types'!$F$3:$F$55))</f>
      </c>
      <c r="M7" s="101" t="s">
        <v>16</v>
      </c>
      <c r="N7" s="203">
        <f>'Gem types'!I7</f>
        <v>5</v>
      </c>
      <c r="O7" s="203">
        <f>'Gem types'!J7</f>
        <v>1</v>
      </c>
      <c r="P7" s="203" t="str">
        <f>'Gem types'!K7</f>
        <v>very large</v>
      </c>
      <c r="Q7" s="203" t="str">
        <f>'Gem types'!L7</f>
        <v>very fine</v>
      </c>
    </row>
    <row r="8" spans="1:17" s="204" customFormat="1" ht="21" customHeight="1">
      <c r="A8" s="203">
        <v>6</v>
      </c>
      <c r="B8" s="204" t="s">
        <v>310</v>
      </c>
      <c r="D8" s="203">
        <v>0</v>
      </c>
      <c r="E8" s="203">
        <v>0</v>
      </c>
      <c r="F8" s="204" t="s">
        <v>335</v>
      </c>
      <c r="G8" s="205">
        <v>2</v>
      </c>
      <c r="H8" s="205">
        <v>8</v>
      </c>
      <c r="I8" s="205">
        <v>0</v>
      </c>
      <c r="J8" s="204" t="s">
        <v>67</v>
      </c>
      <c r="K8" s="101">
        <f>IF(I8=0,"",LOOKUP(I8,'Gem types'!$B$3:$B$55,'Gem types'!$D$3:$D$55))</f>
      </c>
      <c r="L8" s="101">
        <f>IF(I8=0,"",LOOKUP(I8,'Gem types'!$B$3:$B$55,'Gem types'!$F$3:$F$55))</f>
      </c>
      <c r="M8" s="101" t="s">
        <v>16</v>
      </c>
      <c r="N8" s="203">
        <f>'Gem types'!I8</f>
        <v>6</v>
      </c>
      <c r="O8" s="203">
        <f>'Gem types'!J8</f>
        <v>5</v>
      </c>
      <c r="P8" s="203" t="str">
        <f>'Gem types'!K8</f>
        <v>very large</v>
      </c>
      <c r="Q8" s="203" t="str">
        <f>'Gem types'!L8</f>
        <v>fine</v>
      </c>
    </row>
    <row r="9" spans="1:17" s="204" customFormat="1" ht="21" customHeight="1">
      <c r="A9" s="203">
        <v>7</v>
      </c>
      <c r="B9" s="204" t="s">
        <v>310</v>
      </c>
      <c r="D9" s="203">
        <v>0</v>
      </c>
      <c r="E9" s="203">
        <v>0</v>
      </c>
      <c r="F9" s="204" t="s">
        <v>322</v>
      </c>
      <c r="G9" s="205">
        <v>2</v>
      </c>
      <c r="H9" s="205">
        <v>12</v>
      </c>
      <c r="I9" s="205">
        <v>0</v>
      </c>
      <c r="J9" s="204" t="s">
        <v>67</v>
      </c>
      <c r="K9" s="101">
        <f>IF(I9=0,"",LOOKUP(I9,'Gem types'!$B$3:$B$55,'Gem types'!$D$3:$D$55))</f>
      </c>
      <c r="L9" s="101">
        <f>IF(I9=0,"",LOOKUP(I9,'Gem types'!$B$3:$B$55,'Gem types'!$F$3:$F$55))</f>
      </c>
      <c r="M9" s="101" t="s">
        <v>16</v>
      </c>
      <c r="N9" s="203">
        <f>'Gem types'!I9</f>
        <v>7</v>
      </c>
      <c r="O9" s="203">
        <f>'Gem types'!J9</f>
        <v>2</v>
      </c>
      <c r="P9" s="203" t="str">
        <f>'Gem types'!K9</f>
        <v>large</v>
      </c>
      <c r="Q9" s="203" t="str">
        <f>'Gem types'!L9</f>
        <v>fine</v>
      </c>
    </row>
    <row r="10" spans="1:17" s="204" customFormat="1" ht="21" customHeight="1">
      <c r="A10" s="203">
        <v>8</v>
      </c>
      <c r="B10" s="204" t="s">
        <v>310</v>
      </c>
      <c r="D10" s="203">
        <v>0</v>
      </c>
      <c r="E10" s="203">
        <v>0</v>
      </c>
      <c r="F10" s="204" t="s">
        <v>321</v>
      </c>
      <c r="G10" s="205">
        <v>3</v>
      </c>
      <c r="H10" s="205">
        <v>18</v>
      </c>
      <c r="I10" s="205">
        <v>0</v>
      </c>
      <c r="J10" s="204" t="s">
        <v>67</v>
      </c>
      <c r="K10" s="101">
        <f>IF(I10=0,"",LOOKUP(I10,'Gem types'!$B$3:$B$55,'Gem types'!$D$3:$D$55))</f>
      </c>
      <c r="L10" s="101">
        <f>IF(I10=0,"",LOOKUP(I10,'Gem types'!$B$3:$B$55,'Gem types'!$F$3:$F$55))</f>
      </c>
      <c r="M10" s="101" t="s">
        <v>16</v>
      </c>
      <c r="N10" s="203">
        <f>'Gem types'!I10</f>
        <v>8</v>
      </c>
      <c r="O10" s="203">
        <f>'Gem types'!J10</f>
        <v>2</v>
      </c>
      <c r="P10" s="203" t="str">
        <f>'Gem types'!K10</f>
        <v>large</v>
      </c>
      <c r="Q10" s="203" t="str">
        <f>'Gem types'!L10</f>
        <v>fine</v>
      </c>
    </row>
    <row r="11" spans="1:17" s="204" customFormat="1" ht="21" customHeight="1">
      <c r="A11" s="203">
        <v>9</v>
      </c>
      <c r="B11" s="204" t="s">
        <v>310</v>
      </c>
      <c r="D11" s="203">
        <v>0</v>
      </c>
      <c r="E11" s="203">
        <v>0</v>
      </c>
      <c r="F11" s="204" t="s">
        <v>323</v>
      </c>
      <c r="G11" s="205">
        <v>4</v>
      </c>
      <c r="H11" s="205">
        <v>24</v>
      </c>
      <c r="I11" s="205">
        <v>0</v>
      </c>
      <c r="J11" s="204" t="s">
        <v>67</v>
      </c>
      <c r="K11" s="101">
        <f>IF(I11=0,"",LOOKUP(I11,'Gem types'!$B$3:$B$55,'Gem types'!$D$3:$D$55))</f>
      </c>
      <c r="L11" s="101">
        <f>IF(I11=0,"",LOOKUP(I11,'Gem types'!$B$3:$B$55,'Gem types'!$F$3:$F$55))</f>
      </c>
      <c r="M11" s="101" t="s">
        <v>16</v>
      </c>
      <c r="N11" s="203">
        <f>'Gem types'!I11</f>
        <v>9</v>
      </c>
      <c r="O11" s="203">
        <f>'Gem types'!J11</f>
        <v>0.1</v>
      </c>
      <c r="P11" s="203" t="str">
        <f>'Gem types'!K11</f>
        <v>average</v>
      </c>
      <c r="Q11" s="203" t="str">
        <f>'Gem types'!L11</f>
        <v>fine</v>
      </c>
    </row>
    <row r="12" spans="1:17" s="204" customFormat="1" ht="21" customHeight="1">
      <c r="A12" s="203">
        <v>10</v>
      </c>
      <c r="B12" s="204" t="s">
        <v>310</v>
      </c>
      <c r="D12" s="203">
        <v>0</v>
      </c>
      <c r="E12" s="203">
        <v>0</v>
      </c>
      <c r="F12" s="204" t="s">
        <v>316</v>
      </c>
      <c r="G12" s="205">
        <v>5</v>
      </c>
      <c r="H12" s="205">
        <v>30</v>
      </c>
      <c r="I12" s="205">
        <v>0</v>
      </c>
      <c r="J12" s="204" t="s">
        <v>67</v>
      </c>
      <c r="K12" s="101">
        <f>IF(I12=0,"",LOOKUP(I12,'Gem types'!$B$3:$B$55,'Gem types'!$D$3:$D$55))</f>
      </c>
      <c r="L12" s="101">
        <f>IF(I12=0,"",LOOKUP(I12,'Gem types'!$B$3:$B$55,'Gem types'!$F$3:$F$55))</f>
      </c>
      <c r="M12" s="101" t="s">
        <v>16</v>
      </c>
      <c r="N12" s="203">
        <f>'Gem types'!I12</f>
        <v>10</v>
      </c>
      <c r="O12" s="203">
        <f>'Gem types'!J12</f>
        <v>0.2</v>
      </c>
      <c r="P12" s="203" t="str">
        <f>'Gem types'!K12</f>
        <v>average</v>
      </c>
      <c r="Q12" s="203" t="str">
        <f>'Gem types'!L12</f>
        <v>fine</v>
      </c>
    </row>
    <row r="13" spans="1:17" s="204" customFormat="1" ht="21" customHeight="1">
      <c r="A13" s="203">
        <v>11</v>
      </c>
      <c r="B13" s="204" t="s">
        <v>266</v>
      </c>
      <c r="D13" s="203">
        <v>0</v>
      </c>
      <c r="E13" s="203">
        <v>0</v>
      </c>
      <c r="F13" s="204" t="s">
        <v>321</v>
      </c>
      <c r="G13" s="205">
        <v>4</v>
      </c>
      <c r="H13" s="205">
        <v>40</v>
      </c>
      <c r="I13" s="205">
        <f ca="1">RANDBETWEEN(1,24)</f>
        <v>3</v>
      </c>
      <c r="J13" s="204" t="str">
        <f ca="1">IF(RANDBETWEEN(1,100)&lt;=40,LOOKUP(I13,'Gem types'!$B$3:$B$26,'Gem types'!$C$3:$C$26),"none")</f>
        <v>none</v>
      </c>
      <c r="K13" s="101" t="str">
        <f>IF(I13=0,"",LOOKUP(I13,'Gem types'!$B$3:$B$55,'Gem types'!$D$3:$D$55))</f>
        <v>pale blue</v>
      </c>
      <c r="L13" s="101" t="str">
        <f>IF(I13=0,"",LOOKUP(I13,'Gem types'!$B$3:$B$55,'Gem types'!$F$3:$F$55))</f>
        <v>controls bodies of salt water</v>
      </c>
      <c r="M13" s="101" t="s">
        <v>16</v>
      </c>
      <c r="N13" s="203">
        <f>'Gem types'!I13</f>
        <v>11</v>
      </c>
      <c r="O13" s="203">
        <f>'Gem types'!J13</f>
        <v>0.3</v>
      </c>
      <c r="P13" s="203" t="str">
        <f>'Gem types'!K13</f>
        <v>large</v>
      </c>
      <c r="Q13" s="203" t="str">
        <f>'Gem types'!L13</f>
        <v>fine</v>
      </c>
    </row>
    <row r="14" spans="1:17" s="204" customFormat="1" ht="21" customHeight="1">
      <c r="A14" s="203">
        <v>12</v>
      </c>
      <c r="B14" s="204" t="s">
        <v>266</v>
      </c>
      <c r="D14" s="203">
        <v>0</v>
      </c>
      <c r="E14" s="203">
        <v>0</v>
      </c>
      <c r="F14" s="204" t="s">
        <v>316</v>
      </c>
      <c r="G14" s="205">
        <v>10</v>
      </c>
      <c r="H14" s="205">
        <v>60</v>
      </c>
      <c r="I14" s="205">
        <f ca="1">RANDBETWEEN(1,24)</f>
        <v>17</v>
      </c>
      <c r="J14" s="204" t="str">
        <f ca="1">IF(RANDBETWEEN(1,100)&lt;=40,LOOKUP(I14,'Gem types'!$B$3:$B$26,'Gem types'!$C$3:$C$26),"none")</f>
        <v>Jasper</v>
      </c>
      <c r="K14" s="101" t="str">
        <f>IF(I14=0,"",LOOKUP(I14,'Gem types'!$B$3:$B$55,'Gem types'!$D$3:$D$55))</f>
        <v>blue, black to brown</v>
      </c>
      <c r="L14" s="101" t="str">
        <f>IF(I14=0,"",LOOKUP(I14,'Gem types'!$B$3:$B$55,'Gem types'!$F$3:$F$55))</f>
        <v>protection from venom</v>
      </c>
      <c r="M14" s="101" t="s">
        <v>16</v>
      </c>
      <c r="N14" s="203">
        <f>'Gem types'!I14</f>
        <v>12</v>
      </c>
      <c r="O14" s="203">
        <f>'Gem types'!J14</f>
        <v>0.4</v>
      </c>
      <c r="P14" s="203" t="str">
        <f>'Gem types'!K14</f>
        <v>large</v>
      </c>
      <c r="Q14" s="203" t="str">
        <f>'Gem types'!L14</f>
        <v>fine</v>
      </c>
    </row>
    <row r="15" spans="1:17" s="204" customFormat="1" ht="21" customHeight="1">
      <c r="A15" s="203">
        <v>13</v>
      </c>
      <c r="B15" s="204" t="s">
        <v>266</v>
      </c>
      <c r="D15" s="203">
        <v>0</v>
      </c>
      <c r="E15" s="203">
        <v>0</v>
      </c>
      <c r="F15" s="204" t="s">
        <v>317</v>
      </c>
      <c r="G15" s="205">
        <v>10</v>
      </c>
      <c r="H15" s="205">
        <v>80</v>
      </c>
      <c r="I15" s="205">
        <f ca="1">RANDBETWEEN(1,24)</f>
        <v>9</v>
      </c>
      <c r="J15" s="204" t="str">
        <f ca="1">IF(RANDBETWEEN(1,100)&lt;=40,LOOKUP(I15,'Gem types'!$B$3:$B$26,'Gem types'!$C$3:$C$26),"none")</f>
        <v>none</v>
      </c>
      <c r="K15" s="101" t="str">
        <f>IF(I15=0,"",LOOKUP(I15,'Gem types'!$B$3:$B$55,'Gem types'!$D$3:$D$55))</f>
        <v>black</v>
      </c>
      <c r="L15" s="101" t="str">
        <f>IF(I15=0,"",LOOKUP(I15,'Gem types'!$B$3:$B$55,'Gem types'!$F$3:$F$55))</f>
        <v>protection from good</v>
      </c>
      <c r="M15" s="101" t="s">
        <v>16</v>
      </c>
      <c r="N15" s="203">
        <f>'Gem types'!I15</f>
        <v>13</v>
      </c>
      <c r="O15" s="203">
        <f>'Gem types'!J15</f>
        <v>0.5</v>
      </c>
      <c r="P15" s="203" t="str">
        <f>'Gem types'!K15</f>
        <v>large</v>
      </c>
      <c r="Q15" s="203" t="str">
        <f>'Gem types'!L15</f>
        <v>fine</v>
      </c>
    </row>
    <row r="16" spans="1:17" s="204" customFormat="1" ht="21" customHeight="1">
      <c r="A16" s="203">
        <v>14</v>
      </c>
      <c r="B16" s="204" t="s">
        <v>266</v>
      </c>
      <c r="D16" s="203">
        <v>0</v>
      </c>
      <c r="E16" s="203">
        <v>0</v>
      </c>
      <c r="F16" s="204" t="s">
        <v>318</v>
      </c>
      <c r="G16" s="205">
        <v>20</v>
      </c>
      <c r="H16" s="205">
        <v>120</v>
      </c>
      <c r="I16" s="205">
        <f ca="1">RANDBETWEEN(1,24)</f>
        <v>16</v>
      </c>
      <c r="J16" s="204" t="str">
        <f ca="1">IF(RANDBETWEEN(1,100)&lt;=40,LOOKUP(I16,'Gem types'!$B$3:$B$26,'Gem types'!$C$3:$C$26),"none")</f>
        <v>none</v>
      </c>
      <c r="K16" s="101" t="str">
        <f>IF(I16=0,"",LOOKUP(I16,'Gem types'!$B$3:$B$55,'Gem types'!$D$3:$D$55))</f>
        <v>pale yellow brown</v>
      </c>
      <c r="L16" s="101" t="str">
        <f>IF(I16=0,"",LOOKUP(I16,'Gem types'!$B$3:$B$55,'Gem types'!$F$3:$F$55))</f>
        <v>induces severe flatulance</v>
      </c>
      <c r="M16" s="101" t="s">
        <v>16</v>
      </c>
      <c r="N16" s="203">
        <f>'Gem types'!I16</f>
        <v>14</v>
      </c>
      <c r="O16" s="203">
        <f>'Gem types'!J16</f>
        <v>0.6</v>
      </c>
      <c r="P16" s="203" t="str">
        <f>'Gem types'!K16</f>
        <v>large</v>
      </c>
      <c r="Q16" s="203" t="str">
        <f>'Gem types'!L16</f>
        <v>very fine</v>
      </c>
    </row>
    <row r="17" spans="1:17" s="204" customFormat="1" ht="21" customHeight="1">
      <c r="A17" s="203">
        <v>15</v>
      </c>
      <c r="B17" s="204" t="s">
        <v>266</v>
      </c>
      <c r="D17" s="203">
        <v>0</v>
      </c>
      <c r="E17" s="203">
        <v>0</v>
      </c>
      <c r="F17" s="204" t="s">
        <v>319</v>
      </c>
      <c r="G17" s="205">
        <v>30</v>
      </c>
      <c r="H17" s="205">
        <v>180</v>
      </c>
      <c r="I17" s="205">
        <f ca="1">RANDBETWEEN(1,24)</f>
        <v>22</v>
      </c>
      <c r="J17" s="204" t="str">
        <f ca="1">IF(RANDBETWEEN(1,100)&lt;=40,LOOKUP(I17,'Gem types'!$B$3:$B$26,'Gem types'!$C$3:$C$26),"none")</f>
        <v>none</v>
      </c>
      <c r="K17" s="101" t="str">
        <f>IF(I17=0,"",LOOKUP(I17,'Gem types'!$B$3:$B$55,'Gem types'!$D$3:$D$55))</f>
        <v>gray, yellow, or blue (cairngorm), all light</v>
      </c>
      <c r="L17" s="101" t="str">
        <f>IF(I17=0,"",LOOKUP(I17,'Gem types'!$B$3:$B$55,'Gem types'!$F$3:$F$55))</f>
        <v>protection from poison</v>
      </c>
      <c r="M17" s="101" t="s">
        <v>16</v>
      </c>
      <c r="N17" s="203">
        <f>'Gem types'!I17</f>
        <v>15</v>
      </c>
      <c r="O17" s="203">
        <f>'Gem types'!J17</f>
        <v>1</v>
      </c>
      <c r="P17" s="203" t="str">
        <f>'Gem types'!K17</f>
        <v>average</v>
      </c>
      <c r="Q17" s="203" t="str">
        <f>'Gem types'!L17</f>
        <v>average</v>
      </c>
    </row>
    <row r="18" spans="1:17" s="204" customFormat="1" ht="21" customHeight="1">
      <c r="A18" s="203">
        <v>16</v>
      </c>
      <c r="B18" s="204" t="s">
        <v>267</v>
      </c>
      <c r="D18" s="203">
        <v>4</v>
      </c>
      <c r="E18" s="203">
        <v>16</v>
      </c>
      <c r="F18" s="204" t="s">
        <v>317</v>
      </c>
      <c r="G18" s="205">
        <v>40</v>
      </c>
      <c r="H18" s="205">
        <v>240</v>
      </c>
      <c r="I18" s="205">
        <f ca="1">RANDBETWEEN(13,39)</f>
        <v>25</v>
      </c>
      <c r="J18" s="204" t="str">
        <f ca="1">IF(RANDBETWEEN(1,100)&lt;=80,LOOKUP(I18,'Gem types'!$B$15:$B$41,'Gem types'!$C$15:$C$41),"none")</f>
        <v>Amber</v>
      </c>
      <c r="K18" s="101" t="str">
        <f>IF(I18=0,"",LOOKUP(I18,'Gem types'!$B$3:$B$55,'Gem types'!$D$3:$D$55))</f>
        <v>watery gold to rich gold</v>
      </c>
      <c r="L18" s="101" t="str">
        <f>IF(I18=0,"",LOOKUP(I18,'Gem types'!$B$3:$B$55,'Gem types'!$F$3:$F$55))</f>
        <v>wards off disease</v>
      </c>
      <c r="M18" s="101" t="s">
        <v>16</v>
      </c>
      <c r="N18" s="203">
        <f>'Gem types'!I18</f>
        <v>16</v>
      </c>
      <c r="O18" s="203">
        <f>'Gem types'!J18</f>
        <v>2</v>
      </c>
      <c r="P18" s="203" t="str">
        <f>'Gem types'!K18</f>
        <v>average</v>
      </c>
      <c r="Q18" s="203" t="str">
        <f>'Gem types'!L18</f>
        <v>average</v>
      </c>
    </row>
    <row r="19" spans="1:17" s="204" customFormat="1" ht="21" customHeight="1">
      <c r="A19" s="203">
        <v>17</v>
      </c>
      <c r="B19" s="204" t="s">
        <v>267</v>
      </c>
      <c r="D19" s="203">
        <v>4</v>
      </c>
      <c r="E19" s="203">
        <v>16</v>
      </c>
      <c r="F19" s="204" t="s">
        <v>318</v>
      </c>
      <c r="G19" s="205">
        <v>50</v>
      </c>
      <c r="H19" s="205">
        <v>400</v>
      </c>
      <c r="I19" s="205">
        <f ca="1">RANDBETWEEN(13,39)</f>
        <v>30</v>
      </c>
      <c r="J19" s="204" t="str">
        <f ca="1">IF(RANDBETWEEN(1,100)&lt;=80,LOOKUP(I19,'Gem types'!$B$15:$B$41,'Gem types'!$C$15:$C$41),"none")</f>
        <v>Chrysoberyl</v>
      </c>
      <c r="K19" s="101" t="str">
        <f>IF(I19=0,"",LOOKUP(I19,'Gem types'!$B$3:$B$55,'Gem types'!$D$3:$D$55))</f>
        <v>yellow-green to green</v>
      </c>
      <c r="L19" s="101" t="str">
        <f>IF(I19=0,"",LOOKUP(I19,'Gem types'!$B$3:$B$55,'Gem types'!$F$3:$F$55))</f>
        <v>protection from passion</v>
      </c>
      <c r="M19" s="101" t="s">
        <v>16</v>
      </c>
      <c r="N19" s="203">
        <f>'Gem types'!I19</f>
        <v>17</v>
      </c>
      <c r="O19" s="203">
        <f>'Gem types'!J19</f>
        <v>3</v>
      </c>
      <c r="P19" s="203" t="str">
        <f>'Gem types'!K19</f>
        <v>average</v>
      </c>
      <c r="Q19" s="203" t="str">
        <f>'Gem types'!L19</f>
        <v>average</v>
      </c>
    </row>
    <row r="20" spans="1:17" s="204" customFormat="1" ht="21" customHeight="1">
      <c r="A20" s="203">
        <v>18</v>
      </c>
      <c r="B20" s="204" t="s">
        <v>267</v>
      </c>
      <c r="D20" s="203">
        <v>4</v>
      </c>
      <c r="E20" s="203">
        <v>16</v>
      </c>
      <c r="F20" s="204" t="s">
        <v>319</v>
      </c>
      <c r="G20" s="205">
        <v>80</v>
      </c>
      <c r="H20" s="205">
        <v>500</v>
      </c>
      <c r="I20" s="205">
        <f ca="1">RANDBETWEEN(13,39)</f>
        <v>24</v>
      </c>
      <c r="J20" s="204" t="str">
        <f ca="1">IF(RANDBETWEEN(1,100)&lt;=80,LOOKUP(I20,'Gem types'!$B$15:$B$41,'Gem types'!$C$15:$C$41),"none")</f>
        <v>Zircon</v>
      </c>
      <c r="K20" s="101" t="str">
        <f>IF(I20=0,"",LOOKUP(I20,'Gem types'!$B$3:$B$55,'Gem types'!$D$3:$D$55))</f>
        <v>clear pale blue-green</v>
      </c>
      <c r="L20" s="101" t="str">
        <f>IF(I20=0,"",LOOKUP(I20,'Gem types'!$B$3:$B$55,'Gem types'!$F$3:$F$55))</f>
        <v>charms intelligent, water-dwelling creatures</v>
      </c>
      <c r="M20" s="101" t="s">
        <v>16</v>
      </c>
      <c r="N20" s="203">
        <f>'Gem types'!I20</f>
        <v>18</v>
      </c>
      <c r="O20" s="203">
        <f>'Gem types'!J20</f>
        <v>4</v>
      </c>
      <c r="P20" s="203" t="str">
        <f>'Gem types'!K20</f>
        <v>average</v>
      </c>
      <c r="Q20" s="203" t="str">
        <f>'Gem types'!L20</f>
        <v>fine</v>
      </c>
    </row>
    <row r="21" spans="1:17" s="204" customFormat="1" ht="21" customHeight="1">
      <c r="A21" s="203">
        <v>19</v>
      </c>
      <c r="B21" s="204" t="s">
        <v>268</v>
      </c>
      <c r="D21" s="203">
        <v>6</v>
      </c>
      <c r="E21" s="203">
        <v>24</v>
      </c>
      <c r="F21" s="204" t="s">
        <v>320</v>
      </c>
      <c r="G21" s="205">
        <v>500</v>
      </c>
      <c r="H21" s="205">
        <v>5000</v>
      </c>
      <c r="I21" s="205">
        <f ca="1">RANDBETWEEN(25,53)</f>
        <v>35</v>
      </c>
      <c r="J21" s="204" t="str">
        <f>LOOKUP(I21,'Gem types'!$B$27:$B$55,'Gem types'!$C$27:$C$55)</f>
        <v>Pearl</v>
      </c>
      <c r="K21" s="101" t="str">
        <f>IF(I21=0,"",LOOKUP(I21,'Gem types'!$B$3:$B$55,'Gem types'!$D$3:$D$55))</f>
        <v>lustrous white, yellowish, pinkish, etc. to pure black (the most prized)</v>
      </c>
      <c r="L21" s="101" t="str">
        <f>IF(I21=0,"",LOOKUP(I21,'Gem types'!$B$3:$B$55,'Gem types'!$F$3:$F$55))</f>
        <v>guarantees safety while traveling the ocean</v>
      </c>
      <c r="M21" s="101" t="s">
        <v>16</v>
      </c>
      <c r="N21" s="203">
        <f>'Gem types'!I21</f>
        <v>19</v>
      </c>
      <c r="O21" s="203">
        <f>'Gem types'!J21</f>
        <v>5</v>
      </c>
      <c r="P21" s="203" t="str">
        <f>'Gem types'!K21</f>
        <v>average</v>
      </c>
      <c r="Q21" s="203" t="str">
        <f>'Gem types'!L21</f>
        <v>fine</v>
      </c>
    </row>
    <row r="22" spans="1:17" s="204" customFormat="1" ht="21" customHeight="1">
      <c r="A22" s="203">
        <v>20</v>
      </c>
      <c r="B22" s="204" t="s">
        <v>278</v>
      </c>
      <c r="D22" s="203">
        <v>0</v>
      </c>
      <c r="E22" s="203">
        <v>0</v>
      </c>
      <c r="F22" s="204" t="s">
        <v>321</v>
      </c>
      <c r="G22" s="205">
        <v>4</v>
      </c>
      <c r="H22" s="205">
        <v>40</v>
      </c>
      <c r="I22" s="205">
        <f ca="1">RANDBETWEEN(1,24)</f>
        <v>21</v>
      </c>
      <c r="J22" s="204" t="str">
        <f ca="1">IF(RANDBETWEEN(1,100)&lt;=40,LOOKUP(I22,'Gem types'!$B$3:$B$26,'Gem types'!$C$3:$C$26),"none")</f>
        <v>none</v>
      </c>
      <c r="K22" s="101" t="str">
        <f>IF(I22=0,"",LOOKUP(I22,'Gem types'!$B$3:$B$55,'Gem types'!$D$3:$D$55))</f>
        <v>bands of red and white onyx</v>
      </c>
      <c r="L22" s="101" t="str">
        <f>IF(I22=0,"",LOOKUP(I22,'Gem types'!$B$3:$B$55,'Gem types'!$F$3:$F$55))</f>
        <v>aids clerics and paladins, increases effectiveness of healing spells</v>
      </c>
      <c r="M22" s="101" t="s">
        <v>17</v>
      </c>
      <c r="N22" s="203">
        <f>'Gem types'!I22</f>
        <v>20</v>
      </c>
      <c r="O22" s="203">
        <f>'Gem types'!J22</f>
        <v>-0.1</v>
      </c>
      <c r="P22" s="203" t="str">
        <f>'Gem types'!K22</f>
        <v>small</v>
      </c>
      <c r="Q22" s="203" t="str">
        <f>'Gem types'!L22</f>
        <v>imperfect</v>
      </c>
    </row>
    <row r="23" spans="1:17" s="204" customFormat="1" ht="21" customHeight="1">
      <c r="A23" s="203">
        <v>21</v>
      </c>
      <c r="B23" s="204" t="s">
        <v>278</v>
      </c>
      <c r="D23" s="203">
        <v>0</v>
      </c>
      <c r="E23" s="203">
        <v>0</v>
      </c>
      <c r="F23" s="204" t="s">
        <v>316</v>
      </c>
      <c r="G23" s="205">
        <v>10</v>
      </c>
      <c r="H23" s="205">
        <v>60</v>
      </c>
      <c r="I23" s="205">
        <f ca="1">RANDBETWEEN(1,24)</f>
        <v>7</v>
      </c>
      <c r="J23" s="204" t="str">
        <f ca="1">IF(RANDBETWEEN(1,100)&lt;=40,LOOKUP(I23,'Gem types'!$B$3:$B$26,'Gem types'!$C$3:$C$26),"none")</f>
        <v>Malachite</v>
      </c>
      <c r="K23" s="101" t="str">
        <f>IF(I23=0,"",LOOKUP(I23,'Gem types'!$B$3:$B$55,'Gem types'!$D$3:$D$55))</f>
        <v>striated light and dark green</v>
      </c>
      <c r="L23" s="101" t="str">
        <f>IF(I23=0,"",LOOKUP(I23,'Gem types'!$B$3:$B$55,'Gem types'!$F$3:$F$55))</f>
        <v>protection from falling</v>
      </c>
      <c r="M23" s="101" t="s">
        <v>17</v>
      </c>
      <c r="N23" s="203">
        <f>'Gem types'!I23</f>
        <v>21</v>
      </c>
      <c r="O23" s="203">
        <f>'Gem types'!J23</f>
        <v>-0.2</v>
      </c>
      <c r="P23" s="203" t="str">
        <f>'Gem types'!K23</f>
        <v>small</v>
      </c>
      <c r="Q23" s="203" t="str">
        <f>'Gem types'!L23</f>
        <v>imperfect</v>
      </c>
    </row>
    <row r="24" spans="1:17" s="204" customFormat="1" ht="21" customHeight="1">
      <c r="A24" s="203">
        <v>22</v>
      </c>
      <c r="B24" s="204" t="s">
        <v>278</v>
      </c>
      <c r="D24" s="203">
        <v>0</v>
      </c>
      <c r="E24" s="203">
        <v>0</v>
      </c>
      <c r="F24" s="204" t="s">
        <v>317</v>
      </c>
      <c r="G24" s="205">
        <v>10</v>
      </c>
      <c r="H24" s="205">
        <v>80</v>
      </c>
      <c r="I24" s="205">
        <f ca="1">RANDBETWEEN(1,24)</f>
        <v>13</v>
      </c>
      <c r="J24" s="204" t="str">
        <f ca="1">IF(RANDBETWEEN(1,100)&lt;=40,LOOKUP(I24,'Gem types'!$B$3:$B$26,'Gem types'!$C$3:$C$26),"none")</f>
        <v>none</v>
      </c>
      <c r="K24" s="101" t="str">
        <f>IF(I24=0,"",LOOKUP(I24,'Gem types'!$B$3:$B$55,'Gem types'!$D$3:$D$55))</f>
        <v>dark gray with red flecks</v>
      </c>
      <c r="L24" s="101" t="str">
        <f>IF(I24=0,"",LOOKUP(I24,'Gem types'!$B$3:$B$55,'Gem types'!$F$3:$F$55))</f>
        <v>weather control</v>
      </c>
      <c r="M24" s="101" t="s">
        <v>17</v>
      </c>
      <c r="N24" s="203">
        <f>'Gem types'!I24</f>
        <v>22</v>
      </c>
      <c r="O24" s="203">
        <f>'Gem types'!J24</f>
        <v>-0.3</v>
      </c>
      <c r="P24" s="203" t="str">
        <f>'Gem types'!K24</f>
        <v>small</v>
      </c>
      <c r="Q24" s="203" t="str">
        <f>'Gem types'!L24</f>
        <v>imperfect</v>
      </c>
    </row>
    <row r="25" spans="1:17" s="204" customFormat="1" ht="21" customHeight="1">
      <c r="A25" s="203">
        <v>23</v>
      </c>
      <c r="B25" s="204" t="s">
        <v>278</v>
      </c>
      <c r="D25" s="203">
        <v>0</v>
      </c>
      <c r="E25" s="203">
        <v>0</v>
      </c>
      <c r="F25" s="204" t="s">
        <v>318</v>
      </c>
      <c r="G25" s="205">
        <v>20</v>
      </c>
      <c r="H25" s="205">
        <v>120</v>
      </c>
      <c r="I25" s="205">
        <f ca="1">RANDBETWEEN(1,24)</f>
        <v>5</v>
      </c>
      <c r="J25" s="204" t="str">
        <f ca="1">IF(RANDBETWEEN(1,100)&lt;=40,LOOKUP(I25,'Gem types'!$B$3:$B$26,'Gem types'!$C$3:$C$26),"none")</f>
        <v>none</v>
      </c>
      <c r="K25" s="101" t="str">
        <f>IF(I25=0,"",LOOKUP(I25,'Gem types'!$B$3:$B$55,'Gem types'!$D$3:$D$55))</f>
        <v>gray-black</v>
      </c>
      <c r="L25" s="101" t="str">
        <f>IF(I25=0,"",LOOKUP(I25,'Gem types'!$B$3:$B$55,'Gem types'!$F$3:$F$55))</f>
        <v>aids fighters, heals wounds</v>
      </c>
      <c r="M25" s="101" t="s">
        <v>17</v>
      </c>
      <c r="N25" s="203">
        <f>'Gem types'!I25</f>
        <v>23</v>
      </c>
      <c r="O25" s="203">
        <f>'Gem types'!J25</f>
        <v>-0.4</v>
      </c>
      <c r="P25" s="203" t="str">
        <f>'Gem types'!K25</f>
        <v>small</v>
      </c>
      <c r="Q25" s="203" t="str">
        <f>'Gem types'!L25</f>
        <v>flawed</v>
      </c>
    </row>
    <row r="26" spans="1:17" s="204" customFormat="1" ht="21" customHeight="1">
      <c r="A26" s="203">
        <v>24</v>
      </c>
      <c r="B26" s="204" t="s">
        <v>278</v>
      </c>
      <c r="D26" s="203">
        <v>0</v>
      </c>
      <c r="E26" s="203">
        <v>0</v>
      </c>
      <c r="F26" s="204" t="s">
        <v>319</v>
      </c>
      <c r="G26" s="205">
        <v>30</v>
      </c>
      <c r="H26" s="205">
        <v>180</v>
      </c>
      <c r="I26" s="205">
        <f ca="1">RANDBETWEEN(1,24)</f>
        <v>23</v>
      </c>
      <c r="J26" s="204" t="str">
        <f ca="1">IF(RANDBETWEEN(1,100)&lt;=40,LOOKUP(I26,'Gem types'!$B$3:$B$26,'Gem types'!$C$3:$C$26),"none")</f>
        <v>Star Rose Quartz</v>
      </c>
      <c r="K26" s="101" t="str">
        <f>IF(I26=0,"",LOOKUP(I26,'Gem types'!$B$3:$B$55,'Gem types'!$D$3:$D$55))</f>
        <v>translucent rosy stone with white "star" center</v>
      </c>
      <c r="L26" s="101" t="str">
        <f>IF(I26=0,"",LOOKUP(I26,'Gem types'!$B$3:$B$55,'Gem types'!$F$3:$F$55))</f>
        <v>induces love and passion</v>
      </c>
      <c r="M26" s="101" t="s">
        <v>17</v>
      </c>
      <c r="N26" s="203">
        <f>'Gem types'!I26</f>
        <v>24</v>
      </c>
      <c r="O26" s="203">
        <f>'Gem types'!J26</f>
        <v>-0.5</v>
      </c>
      <c r="P26" s="203" t="str">
        <f>'Gem types'!K26</f>
        <v>small</v>
      </c>
      <c r="Q26" s="203" t="str">
        <f>'Gem types'!L26</f>
        <v>flawed</v>
      </c>
    </row>
    <row r="27" spans="1:17" s="204" customFormat="1" ht="21" customHeight="1">
      <c r="A27" s="203">
        <v>25</v>
      </c>
      <c r="B27" s="204" t="s">
        <v>279</v>
      </c>
      <c r="D27" s="203">
        <v>4</v>
      </c>
      <c r="E27" s="203">
        <v>16</v>
      </c>
      <c r="F27" s="204" t="s">
        <v>317</v>
      </c>
      <c r="G27" s="205">
        <v>40</v>
      </c>
      <c r="H27" s="205">
        <v>240</v>
      </c>
      <c r="I27" s="205">
        <f ca="1">RANDBETWEEN(13,39)</f>
        <v>38</v>
      </c>
      <c r="J27" s="204" t="str">
        <f ca="1">IF(RANDBETWEEN(1,100)&lt;=80,LOOKUP(I27,'Gem types'!$B$15:$B$41,'Gem types'!$C$15:$C$41),"none")</f>
        <v>Topaz</v>
      </c>
      <c r="K27" s="101" t="str">
        <f>IF(I27=0,"",LOOKUP(I27,'Gem types'!$B$3:$B$55,'Gem types'!$D$3:$D$55))</f>
        <v>golden yellow</v>
      </c>
      <c r="L27" s="101" t="str">
        <f>IF(I27=0,"",LOOKUP(I27,'Gem types'!$B$3:$B$55,'Gem types'!$F$3:$F$55))</f>
        <v>wards off evil spells</v>
      </c>
      <c r="M27" s="101" t="s">
        <v>17</v>
      </c>
      <c r="N27" s="203">
        <f>'Gem types'!I27</f>
        <v>25</v>
      </c>
      <c r="O27" s="203">
        <f>'Gem types'!J27</f>
        <v>-0.6</v>
      </c>
      <c r="P27" s="203" t="str">
        <f>'Gem types'!K27</f>
        <v>very small</v>
      </c>
      <c r="Q27" s="203" t="str">
        <f>'Gem types'!L27</f>
        <v>flawed</v>
      </c>
    </row>
    <row r="28" spans="1:17" s="204" customFormat="1" ht="21" customHeight="1">
      <c r="A28" s="203">
        <v>26</v>
      </c>
      <c r="B28" s="204" t="s">
        <v>279</v>
      </c>
      <c r="D28" s="203">
        <v>4</v>
      </c>
      <c r="E28" s="203">
        <v>16</v>
      </c>
      <c r="F28" s="204" t="s">
        <v>318</v>
      </c>
      <c r="G28" s="205">
        <v>50</v>
      </c>
      <c r="H28" s="205">
        <v>400</v>
      </c>
      <c r="I28" s="205">
        <f ca="1">RANDBETWEEN(13,39)</f>
        <v>33</v>
      </c>
      <c r="J28" s="204" t="str">
        <f ca="1">IF(RANDBETWEEN(1,100)&lt;=80,LOOKUP(I28,'Gem types'!$B$15:$B$41,'Gem types'!$C$15:$C$41),"none")</f>
        <v>Jade</v>
      </c>
      <c r="K28" s="101" t="str">
        <f>IF(I28=0,"",LOOKUP(I28,'Gem types'!$B$3:$B$55,'Gem types'!$D$3:$D$55))</f>
        <v>light green, deep green, green and white, white</v>
      </c>
      <c r="L28" s="101" t="str">
        <f>IF(I28=0,"",LOOKUP(I28,'Gem types'!$B$3:$B$55,'Gem types'!$F$3:$F$55))</f>
        <v>aids, bards, grants skill at music and musical instruments</v>
      </c>
      <c r="M28" s="101" t="s">
        <v>17</v>
      </c>
      <c r="N28" s="203">
        <f>'Gem types'!I28</f>
        <v>26</v>
      </c>
      <c r="O28" s="203">
        <f>'Gem types'!J28</f>
        <v>-0.7</v>
      </c>
      <c r="P28" s="203" t="str">
        <f>'Gem types'!K28</f>
        <v>very small</v>
      </c>
      <c r="Q28" s="203" t="str">
        <f>'Gem types'!L28</f>
        <v>poor</v>
      </c>
    </row>
    <row r="29" spans="1:17" s="204" customFormat="1" ht="21" customHeight="1">
      <c r="A29" s="203">
        <v>27</v>
      </c>
      <c r="B29" s="204" t="s">
        <v>279</v>
      </c>
      <c r="D29" s="203">
        <v>4</v>
      </c>
      <c r="E29" s="203">
        <v>16</v>
      </c>
      <c r="F29" s="204" t="s">
        <v>319</v>
      </c>
      <c r="G29" s="205">
        <v>80</v>
      </c>
      <c r="H29" s="205">
        <v>500</v>
      </c>
      <c r="I29" s="205">
        <f ca="1">RANDBETWEEN(13,39)</f>
        <v>19</v>
      </c>
      <c r="J29" s="204" t="str">
        <f ca="1">IF(RANDBETWEEN(1,100)&lt;=80,LOOKUP(I29,'Gem types'!$B$15:$B$41,'Gem types'!$C$15:$C$41),"none")</f>
        <v>Onyx</v>
      </c>
      <c r="K29" s="101" t="str">
        <f>IF(I29=0,"",LOOKUP(I29,'Gem types'!$B$3:$B$55,'Gem types'!$D$3:$D$55))</f>
        <v>bands of black and white, else pure black or white</v>
      </c>
      <c r="L29" s="101" t="str">
        <f>IF(I29=0,"",LOOKUP(I29,'Gem types'!$B$3:$B$55,'Gem types'!$F$3:$F$55))</f>
        <v>causes discord amongst enemies</v>
      </c>
      <c r="M29" s="101" t="s">
        <v>17</v>
      </c>
      <c r="N29" s="203">
        <f>'Gem types'!I29</f>
        <v>27</v>
      </c>
      <c r="O29" s="203">
        <f>'Gem types'!J29</f>
        <v>-0.8</v>
      </c>
      <c r="P29" s="203" t="str">
        <f>'Gem types'!K29</f>
        <v>very small</v>
      </c>
      <c r="Q29" s="203" t="str">
        <f>'Gem types'!L29</f>
        <v>poor</v>
      </c>
    </row>
    <row r="30" spans="1:17" s="204" customFormat="1" ht="21" customHeight="1">
      <c r="A30" s="203">
        <v>28</v>
      </c>
      <c r="B30" s="204" t="s">
        <v>280</v>
      </c>
      <c r="D30" s="203">
        <v>6</v>
      </c>
      <c r="E30" s="203">
        <v>24</v>
      </c>
      <c r="F30" s="204" t="s">
        <v>320</v>
      </c>
      <c r="G30" s="205">
        <v>500</v>
      </c>
      <c r="H30" s="205">
        <v>5000</v>
      </c>
      <c r="I30" s="205">
        <f ca="1">RANDBETWEEN(25,53)</f>
        <v>43</v>
      </c>
      <c r="J30" s="204" t="str">
        <f>LOOKUP(I30,'Gem types'!$B$27:$B$55,'Gem types'!$C$27:$C$55)</f>
        <v>Emerald</v>
      </c>
      <c r="K30" s="101" t="str">
        <f>IF(I30=0,"",LOOKUP(I30,'Gem types'!$B$3:$B$55,'Gem types'!$D$3:$D$55))</f>
        <v>deep bright green</v>
      </c>
      <c r="L30" s="101" t="str">
        <f>IF(I30=0,"",LOOKUP(I30,'Gem types'!$B$3:$B$55,'Gem types'!$F$3:$F$55))</f>
        <v>aids plant growth</v>
      </c>
      <c r="M30" s="101" t="s">
        <v>17</v>
      </c>
      <c r="N30" s="203"/>
      <c r="O30" s="203"/>
      <c r="P30" s="203"/>
      <c r="Q30" s="203"/>
    </row>
    <row r="31" spans="1:17" s="204" customFormat="1" ht="21" customHeight="1">
      <c r="A31" s="203">
        <v>29</v>
      </c>
      <c r="B31" s="204" t="s">
        <v>63</v>
      </c>
      <c r="D31" s="203">
        <v>1</v>
      </c>
      <c r="E31" s="203">
        <v>3</v>
      </c>
      <c r="F31" s="204" t="s">
        <v>321</v>
      </c>
      <c r="G31" s="205">
        <v>10</v>
      </c>
      <c r="H31" s="205">
        <v>60</v>
      </c>
      <c r="I31" s="205">
        <f aca="true" ca="1" t="shared" si="0" ref="I31:I37">RANDBETWEEN(1,24)</f>
        <v>21</v>
      </c>
      <c r="J31" s="204" t="str">
        <f ca="1">IF(RANDBETWEEN(1,100)&lt;=40,LOOKUP(I31,'Gem types'!$B$3:$B$26,'Gem types'!$C$3:$C$26),"none")</f>
        <v>Sardonyx</v>
      </c>
      <c r="K31" s="101" t="str">
        <f>IF(I31=0,"",LOOKUP(I31,'Gem types'!$B$3:$B$55,'Gem types'!$D$3:$D$55))</f>
        <v>bands of red and white onyx</v>
      </c>
      <c r="L31" s="101" t="str">
        <f>IF(I31=0,"",LOOKUP(I31,'Gem types'!$B$3:$B$55,'Gem types'!$F$3:$F$55))</f>
        <v>aids clerics and paladins, increases effectiveness of healing spells</v>
      </c>
      <c r="M31" s="101" t="s">
        <v>15</v>
      </c>
      <c r="N31" s="203"/>
      <c r="O31" s="203"/>
      <c r="P31" s="203"/>
      <c r="Q31" s="203"/>
    </row>
    <row r="32" spans="1:17" s="204" customFormat="1" ht="21" customHeight="1">
      <c r="A32" s="203">
        <v>30</v>
      </c>
      <c r="B32" s="204" t="s">
        <v>63</v>
      </c>
      <c r="D32" s="203">
        <v>1</v>
      </c>
      <c r="E32" s="203">
        <v>3</v>
      </c>
      <c r="F32" s="204" t="s">
        <v>335</v>
      </c>
      <c r="G32" s="205">
        <v>10</v>
      </c>
      <c r="H32" s="205">
        <v>80</v>
      </c>
      <c r="I32" s="205">
        <f ca="1" t="shared" si="0"/>
        <v>23</v>
      </c>
      <c r="J32" s="204" t="str">
        <f ca="1">IF(RANDBETWEEN(1,100)&lt;=40,LOOKUP(I32,'Gem types'!$B$3:$B$26,'Gem types'!$C$3:$C$26),"none")</f>
        <v>none</v>
      </c>
      <c r="K32" s="101" t="str">
        <f>IF(I32=0,"",LOOKUP(I32,'Gem types'!$B$3:$B$55,'Gem types'!$D$3:$D$55))</f>
        <v>translucent rosy stone with white "star" center</v>
      </c>
      <c r="L32" s="101" t="str">
        <f>IF(I32=0,"",LOOKUP(I32,'Gem types'!$B$3:$B$55,'Gem types'!$F$3:$F$55))</f>
        <v>induces love and passion</v>
      </c>
      <c r="M32" s="101" t="s">
        <v>15</v>
      </c>
      <c r="N32" s="203"/>
      <c r="O32" s="203"/>
      <c r="P32" s="203"/>
      <c r="Q32" s="203"/>
    </row>
    <row r="33" spans="1:17" s="204" customFormat="1" ht="21" customHeight="1">
      <c r="A33" s="203">
        <v>31</v>
      </c>
      <c r="B33" s="204" t="s">
        <v>63</v>
      </c>
      <c r="D33" s="203">
        <v>1</v>
      </c>
      <c r="E33" s="203">
        <v>3</v>
      </c>
      <c r="F33" s="204" t="s">
        <v>316</v>
      </c>
      <c r="G33" s="205">
        <v>20</v>
      </c>
      <c r="H33" s="205">
        <v>120</v>
      </c>
      <c r="I33" s="205">
        <f ca="1" t="shared" si="0"/>
        <v>7</v>
      </c>
      <c r="J33" s="204" t="str">
        <f ca="1">IF(RANDBETWEEN(1,100)&lt;=40,LOOKUP(I33,'Gem types'!$B$3:$B$26,'Gem types'!$C$3:$C$26),"none")</f>
        <v>none</v>
      </c>
      <c r="K33" s="101" t="str">
        <f>IF(I33=0,"",LOOKUP(I33,'Gem types'!$B$3:$B$55,'Gem types'!$D$3:$D$55))</f>
        <v>striated light and dark green</v>
      </c>
      <c r="L33" s="101" t="str">
        <f>IF(I33=0,"",LOOKUP(I33,'Gem types'!$B$3:$B$55,'Gem types'!$F$3:$F$55))</f>
        <v>protection from falling</v>
      </c>
      <c r="M33" s="101" t="s">
        <v>15</v>
      </c>
      <c r="N33" s="203"/>
      <c r="O33" s="203"/>
      <c r="P33" s="203"/>
      <c r="Q33" s="203"/>
    </row>
    <row r="34" spans="1:17" s="204" customFormat="1" ht="21" customHeight="1">
      <c r="A34" s="203">
        <v>32</v>
      </c>
      <c r="B34" s="204" t="s">
        <v>63</v>
      </c>
      <c r="D34" s="203">
        <v>1</v>
      </c>
      <c r="E34" s="203">
        <v>3</v>
      </c>
      <c r="F34" s="204" t="s">
        <v>317</v>
      </c>
      <c r="G34" s="205">
        <v>30</v>
      </c>
      <c r="H34" s="205">
        <v>180</v>
      </c>
      <c r="I34" s="205">
        <f ca="1" t="shared" si="0"/>
        <v>4</v>
      </c>
      <c r="J34" s="204" t="str">
        <f ca="1">IF(RANDBETWEEN(1,100)&lt;=40,LOOKUP(I34,'Gem types'!$B$3:$B$26,'Gem types'!$C$3:$C$26),"none")</f>
        <v>Eye Agate</v>
      </c>
      <c r="K34" s="101" t="str">
        <f>IF(I34=0,"",LOOKUP(I34,'Gem types'!$B$3:$B$55,'Gem types'!$D$3:$D$55))</f>
        <v>circles of gray, white, brown, blue, and/or green</v>
      </c>
      <c r="L34" s="101" t="str">
        <f>IF(I34=0,"",LOOKUP(I34,'Gem types'!$B$3:$B$55,'Gem types'!$F$3:$F$55))</f>
        <v>induces restful sleep</v>
      </c>
      <c r="M34" s="101" t="s">
        <v>15</v>
      </c>
      <c r="N34" s="203"/>
      <c r="O34" s="203"/>
      <c r="P34" s="203"/>
      <c r="Q34" s="203"/>
    </row>
    <row r="35" spans="1:17" s="204" customFormat="1" ht="21" customHeight="1">
      <c r="A35" s="203">
        <v>33</v>
      </c>
      <c r="B35" s="204" t="s">
        <v>265</v>
      </c>
      <c r="D35" s="203">
        <v>2</v>
      </c>
      <c r="E35" s="203">
        <v>6</v>
      </c>
      <c r="F35" s="204" t="s">
        <v>316</v>
      </c>
      <c r="G35" s="205">
        <v>10</v>
      </c>
      <c r="H35" s="205">
        <v>40</v>
      </c>
      <c r="I35" s="205">
        <f ca="1" t="shared" si="0"/>
        <v>7</v>
      </c>
      <c r="J35" s="204" t="str">
        <f>LOOKUP(I35,'Gem types'!$B$3:$B$26,'Gem types'!$C$3:$C$26)</f>
        <v>Malachite</v>
      </c>
      <c r="K35" s="101" t="str">
        <f>IF(I35=0,"",LOOKUP(I35,'Gem types'!$B$3:$B$55,'Gem types'!$D$3:$D$55))</f>
        <v>striated light and dark green</v>
      </c>
      <c r="L35" s="101" t="str">
        <f>IF(I35=0,"",LOOKUP(I35,'Gem types'!$B$3:$B$55,'Gem types'!$F$3:$F$55))</f>
        <v>protection from falling</v>
      </c>
      <c r="M35" s="101" t="s">
        <v>1</v>
      </c>
      <c r="N35" s="203"/>
      <c r="O35" s="203"/>
      <c r="P35" s="203"/>
      <c r="Q35" s="203"/>
    </row>
    <row r="36" spans="1:17" s="204" customFormat="1" ht="21" customHeight="1">
      <c r="A36" s="203">
        <v>34</v>
      </c>
      <c r="B36" s="204" t="s">
        <v>265</v>
      </c>
      <c r="D36" s="203">
        <v>2</v>
      </c>
      <c r="E36" s="203">
        <v>6</v>
      </c>
      <c r="F36" s="204" t="s">
        <v>317</v>
      </c>
      <c r="G36" s="205">
        <v>20</v>
      </c>
      <c r="H36" s="205">
        <v>80</v>
      </c>
      <c r="I36" s="205">
        <f ca="1" t="shared" si="0"/>
        <v>23</v>
      </c>
      <c r="J36" s="204" t="str">
        <f>LOOKUP(I36,'Gem types'!$B$3:$B$26,'Gem types'!$C$3:$C$26)</f>
        <v>Star Rose Quartz</v>
      </c>
      <c r="K36" s="101" t="str">
        <f>IF(I36=0,"",LOOKUP(I36,'Gem types'!$B$3:$B$55,'Gem types'!$D$3:$D$55))</f>
        <v>translucent rosy stone with white "star" center</v>
      </c>
      <c r="L36" s="101" t="str">
        <f>IF(I36=0,"",LOOKUP(I36,'Gem types'!$B$3:$B$55,'Gem types'!$F$3:$F$55))</f>
        <v>induces love and passion</v>
      </c>
      <c r="M36" s="101" t="s">
        <v>1</v>
      </c>
      <c r="N36" s="203"/>
      <c r="O36" s="203"/>
      <c r="P36" s="203"/>
      <c r="Q36" s="203"/>
    </row>
    <row r="37" spans="1:17" s="204" customFormat="1" ht="21" customHeight="1">
      <c r="A37" s="203">
        <v>35</v>
      </c>
      <c r="B37" s="204" t="s">
        <v>265</v>
      </c>
      <c r="D37" s="203">
        <v>2</v>
      </c>
      <c r="E37" s="203">
        <v>6</v>
      </c>
      <c r="F37" s="204" t="s">
        <v>318</v>
      </c>
      <c r="G37" s="205">
        <v>30</v>
      </c>
      <c r="H37" s="205">
        <v>120</v>
      </c>
      <c r="I37" s="205">
        <f ca="1" t="shared" si="0"/>
        <v>18</v>
      </c>
      <c r="J37" s="204" t="str">
        <f>LOOKUP(I37,'Gem types'!$B$3:$B$26,'Gem types'!$C$3:$C$26)</f>
        <v>Moonstone</v>
      </c>
      <c r="K37" s="101" t="str">
        <f>IF(I37=0,"",LOOKUP(I37,'Gem types'!$B$3:$B$55,'Gem types'!$D$3:$D$55))</f>
        <v>white with pale blue glow</v>
      </c>
      <c r="L37" s="101" t="str">
        <f>IF(I37=0,"",LOOKUP(I37,'Gem types'!$B$3:$B$55,'Gem types'!$F$3:$F$55))</f>
        <v>causes lycanthropy</v>
      </c>
      <c r="M37" s="101" t="s">
        <v>1</v>
      </c>
      <c r="N37" s="203"/>
      <c r="O37" s="203"/>
      <c r="P37" s="203"/>
      <c r="Q37" s="203"/>
    </row>
    <row r="38" spans="1:17" s="204" customFormat="1" ht="21" customHeight="1">
      <c r="A38" s="203">
        <v>36</v>
      </c>
      <c r="B38" s="204" t="s">
        <v>265</v>
      </c>
      <c r="D38" s="203">
        <v>2</v>
      </c>
      <c r="E38" s="203">
        <v>6</v>
      </c>
      <c r="F38" s="204" t="s">
        <v>319</v>
      </c>
      <c r="G38" s="205">
        <v>40</v>
      </c>
      <c r="H38" s="205">
        <v>160</v>
      </c>
      <c r="I38" s="205">
        <f ca="1">RANDBETWEEN(13,39)</f>
        <v>37</v>
      </c>
      <c r="J38" s="204" t="str">
        <f>LOOKUP(I38,'Gem types'!$B$3:$B$26,'Gem types'!$C$3:$C$26)</f>
        <v>Zircon</v>
      </c>
      <c r="K38" s="101" t="str">
        <f>IF(I38=0,"",LOOKUP(I38,'Gem types'!$B$3:$B$55,'Gem types'!$D$3:$D$55))</f>
        <v>red, red-brown, deep green, or very deep blue (the most prized)</v>
      </c>
      <c r="L38" s="101" t="str">
        <f>IF(I38=0,"",LOOKUP(I38,'Gem types'!$B$3:$B$55,'Gem types'!$F$3:$F$55))</f>
        <v>aids rangers, enhances tracking skills, guarantees successful hunting</v>
      </c>
      <c r="M38" s="101" t="s">
        <v>1</v>
      </c>
      <c r="N38" s="203"/>
      <c r="O38" s="203"/>
      <c r="P38" s="203"/>
      <c r="Q38" s="203"/>
    </row>
    <row r="39" spans="1:17" s="204" customFormat="1" ht="21" customHeight="1">
      <c r="A39" s="203">
        <v>37</v>
      </c>
      <c r="B39" s="204" t="s">
        <v>264</v>
      </c>
      <c r="D39" s="203">
        <v>2</v>
      </c>
      <c r="E39" s="203">
        <v>6</v>
      </c>
      <c r="F39" s="204" t="s">
        <v>316</v>
      </c>
      <c r="G39" s="205">
        <v>20</v>
      </c>
      <c r="H39" s="205">
        <v>120</v>
      </c>
      <c r="I39" s="205">
        <f ca="1">RANDBETWEEN(1,24)</f>
        <v>18</v>
      </c>
      <c r="J39" s="204" t="str">
        <f ca="1">IF(RANDBETWEEN(1,100)&lt;=40,LOOKUP(I39,'Gem types'!$B$3:$B$26,'Gem types'!$C$3:$C$26),"none")</f>
        <v>none</v>
      </c>
      <c r="K39" s="101" t="str">
        <f>IF(I39=0,"",LOOKUP(I39,'Gem types'!$B$3:$B$55,'Gem types'!$D$3:$D$55))</f>
        <v>white with pale blue glow</v>
      </c>
      <c r="L39" s="101" t="str">
        <f>IF(I39=0,"",LOOKUP(I39,'Gem types'!$B$3:$B$55,'Gem types'!$F$3:$F$55))</f>
        <v>causes lycanthropy</v>
      </c>
      <c r="M39" s="101" t="s">
        <v>9</v>
      </c>
      <c r="N39" s="203"/>
      <c r="O39" s="203"/>
      <c r="P39" s="203"/>
      <c r="Q39" s="203"/>
    </row>
    <row r="40" spans="1:17" s="204" customFormat="1" ht="21" customHeight="1">
      <c r="A40" s="203">
        <v>38</v>
      </c>
      <c r="B40" s="204" t="s">
        <v>264</v>
      </c>
      <c r="D40" s="203">
        <v>2</v>
      </c>
      <c r="E40" s="203">
        <v>6</v>
      </c>
      <c r="F40" s="204" t="s">
        <v>317</v>
      </c>
      <c r="G40" s="205">
        <v>30</v>
      </c>
      <c r="H40" s="205">
        <v>180</v>
      </c>
      <c r="I40" s="205">
        <f ca="1">RANDBETWEEN(1,24)</f>
        <v>24</v>
      </c>
      <c r="J40" s="204" t="str">
        <f ca="1">IF(RANDBETWEEN(1,100)&lt;=40,LOOKUP(I40,'Gem types'!$B$3:$B$26,'Gem types'!$C$3:$C$26),"none")</f>
        <v>Zircon</v>
      </c>
      <c r="K40" s="101" t="str">
        <f>IF(I40=0,"",LOOKUP(I40,'Gem types'!$B$3:$B$55,'Gem types'!$D$3:$D$55))</f>
        <v>clear pale blue-green</v>
      </c>
      <c r="L40" s="101" t="str">
        <f>IF(I40=0,"",LOOKUP(I40,'Gem types'!$B$3:$B$55,'Gem types'!$F$3:$F$55))</f>
        <v>charms intelligent, water-dwelling creatures</v>
      </c>
      <c r="M40" s="101" t="s">
        <v>9</v>
      </c>
      <c r="N40" s="203"/>
      <c r="O40" s="203"/>
      <c r="P40" s="203"/>
      <c r="Q40" s="203"/>
    </row>
    <row r="41" spans="1:17" s="204" customFormat="1" ht="21" customHeight="1">
      <c r="A41" s="203">
        <v>39</v>
      </c>
      <c r="B41" s="204" t="s">
        <v>264</v>
      </c>
      <c r="D41" s="203">
        <v>2</v>
      </c>
      <c r="E41" s="203">
        <v>6</v>
      </c>
      <c r="F41" s="204" t="s">
        <v>318</v>
      </c>
      <c r="G41" s="205">
        <v>40</v>
      </c>
      <c r="H41" s="205">
        <v>240</v>
      </c>
      <c r="I41" s="205">
        <f ca="1">RANDBETWEEN(13,39)</f>
        <v>21</v>
      </c>
      <c r="J41" s="204" t="str">
        <f ca="1">IF(RANDBETWEEN(1,100)&lt;=80,LOOKUP(I41,'Gem types'!$B$15:$B$41,'Gem types'!$C$15:$C$41),"none")</f>
        <v>Sardonyx</v>
      </c>
      <c r="K41" s="101" t="str">
        <f>IF(I41=0,"",LOOKUP(I41,'Gem types'!$B$3:$B$55,'Gem types'!$D$3:$D$55))</f>
        <v>bands of red and white onyx</v>
      </c>
      <c r="L41" s="101" t="str">
        <f>IF(I41=0,"",LOOKUP(I41,'Gem types'!$B$3:$B$55,'Gem types'!$F$3:$F$55))</f>
        <v>aids clerics and paladins, increases effectiveness of healing spells</v>
      </c>
      <c r="M41" s="101" t="s">
        <v>9</v>
      </c>
      <c r="N41" s="203"/>
      <c r="O41" s="203"/>
      <c r="P41" s="203"/>
      <c r="Q41" s="203"/>
    </row>
    <row r="42" spans="1:17" s="204" customFormat="1" ht="21" customHeight="1">
      <c r="A42" s="203">
        <v>40</v>
      </c>
      <c r="B42" s="204" t="s">
        <v>264</v>
      </c>
      <c r="D42" s="203">
        <v>2</v>
      </c>
      <c r="E42" s="203">
        <v>6</v>
      </c>
      <c r="F42" s="204" t="s">
        <v>319</v>
      </c>
      <c r="G42" s="205">
        <v>50</v>
      </c>
      <c r="H42" s="205">
        <v>400</v>
      </c>
      <c r="I42" s="205">
        <f ca="1">RANDBETWEEN(13,39)</f>
        <v>39</v>
      </c>
      <c r="J42" s="204" t="str">
        <f ca="1">IF(RANDBETWEEN(1,100)&lt;=80,LOOKUP(I42,'Gem types'!$B$15:$B$41,'Gem types'!$C$15:$C$41),"none")</f>
        <v>Tourmaline</v>
      </c>
      <c r="K42" s="101" t="str">
        <f>IF(I42=0,"",LOOKUP(I42,'Gem types'!$B$3:$B$55,'Gem types'!$D$3:$D$55))</f>
        <v>green pale, blue pale, brown pale, or reddish pale</v>
      </c>
      <c r="L42" s="101" t="str">
        <f>IF(I42=0,"",LOOKUP(I42,'Gem types'!$B$3:$B$55,'Gem types'!$F$3:$F$55))</f>
        <v>speeds overland travel</v>
      </c>
      <c r="M42" s="101" t="s">
        <v>9</v>
      </c>
      <c r="N42" s="203"/>
      <c r="O42" s="203"/>
      <c r="P42" s="203"/>
      <c r="Q42" s="203"/>
    </row>
    <row r="43" spans="1:17" s="204" customFormat="1" ht="21" customHeight="1">
      <c r="A43" s="203">
        <v>41</v>
      </c>
      <c r="B43" s="204" t="s">
        <v>263</v>
      </c>
      <c r="D43" s="203">
        <v>3</v>
      </c>
      <c r="E43" s="203">
        <v>9</v>
      </c>
      <c r="F43" s="204" t="s">
        <v>317</v>
      </c>
      <c r="G43" s="205">
        <v>40</v>
      </c>
      <c r="H43" s="205">
        <v>240</v>
      </c>
      <c r="I43" s="205">
        <f ca="1">RANDBETWEEN(13,39)</f>
        <v>35</v>
      </c>
      <c r="J43" s="204" t="str">
        <f ca="1">IF(RANDBETWEEN(1,100)&lt;=80,LOOKUP(I43,'Gem types'!$B$15:$B$41,'Gem types'!$C$15:$C$41),"none")</f>
        <v>Pearl</v>
      </c>
      <c r="K43" s="101" t="str">
        <f>IF(I43=0,"",LOOKUP(I43,'Gem types'!$B$3:$B$55,'Gem types'!$D$3:$D$55))</f>
        <v>lustrous white, yellowish, pinkish, etc. to pure black (the most prized)</v>
      </c>
      <c r="L43" s="101" t="str">
        <f>IF(I43=0,"",LOOKUP(I43,'Gem types'!$B$3:$B$55,'Gem types'!$F$3:$F$55))</f>
        <v>guarantees safety while traveling the ocean</v>
      </c>
      <c r="M43" s="101" t="s">
        <v>14</v>
      </c>
      <c r="N43" s="203"/>
      <c r="O43" s="203"/>
      <c r="P43" s="203"/>
      <c r="Q43" s="203"/>
    </row>
    <row r="44" spans="1:17" s="204" customFormat="1" ht="21" customHeight="1">
      <c r="A44" s="203">
        <v>42</v>
      </c>
      <c r="B44" s="204" t="s">
        <v>263</v>
      </c>
      <c r="D44" s="203">
        <v>3</v>
      </c>
      <c r="E44" s="203">
        <v>9</v>
      </c>
      <c r="F44" s="204" t="s">
        <v>319</v>
      </c>
      <c r="G44" s="205">
        <v>50</v>
      </c>
      <c r="H44" s="205">
        <v>400</v>
      </c>
      <c r="I44" s="205">
        <f ca="1">RANDBETWEEN(13,39)</f>
        <v>17</v>
      </c>
      <c r="J44" s="204" t="str">
        <f ca="1">IF(RANDBETWEEN(1,100)&lt;=80,LOOKUP(I44,'Gem types'!$B$15:$B$41,'Gem types'!$C$15:$C$41),"none")</f>
        <v>Jasper</v>
      </c>
      <c r="K44" s="101" t="str">
        <f>IF(I44=0,"",LOOKUP(I44,'Gem types'!$B$3:$B$55,'Gem types'!$D$3:$D$55))</f>
        <v>blue, black to brown</v>
      </c>
      <c r="L44" s="101" t="str">
        <f>IF(I44=0,"",LOOKUP(I44,'Gem types'!$B$3:$B$55,'Gem types'!$F$3:$F$55))</f>
        <v>protection from venom</v>
      </c>
      <c r="M44" s="101" t="s">
        <v>14</v>
      </c>
      <c r="N44" s="203"/>
      <c r="O44" s="203"/>
      <c r="P44" s="203"/>
      <c r="Q44" s="203"/>
    </row>
    <row r="45" spans="1:17" s="204" customFormat="1" ht="21" customHeight="1">
      <c r="A45" s="203">
        <v>43</v>
      </c>
      <c r="B45" s="204" t="s">
        <v>263</v>
      </c>
      <c r="D45" s="203">
        <v>3</v>
      </c>
      <c r="E45" s="203">
        <v>9</v>
      </c>
      <c r="F45" s="204" t="s">
        <v>320</v>
      </c>
      <c r="G45" s="205">
        <v>80</v>
      </c>
      <c r="H45" s="205">
        <v>500</v>
      </c>
      <c r="I45" s="205">
        <f ca="1">RANDBETWEEN(13,39)</f>
        <v>39</v>
      </c>
      <c r="J45" s="204" t="str">
        <f ca="1">IF(RANDBETWEEN(1,100)&lt;=80,LOOKUP(I45,'Gem types'!$B$15:$B$41,'Gem types'!$C$15:$C$41),"none")</f>
        <v>Tourmaline</v>
      </c>
      <c r="K45" s="101" t="str">
        <f>IF(I45=0,"",LOOKUP(I45,'Gem types'!$B$3:$B$55,'Gem types'!$D$3:$D$55))</f>
        <v>green pale, blue pale, brown pale, or reddish pale</v>
      </c>
      <c r="L45" s="101" t="str">
        <f>IF(I45=0,"",LOOKUP(I45,'Gem types'!$B$3:$B$55,'Gem types'!$F$3:$F$55))</f>
        <v>speeds overland travel</v>
      </c>
      <c r="M45" s="101" t="s">
        <v>14</v>
      </c>
      <c r="N45" s="203"/>
      <c r="O45" s="203"/>
      <c r="P45" s="203"/>
      <c r="Q45" s="203"/>
    </row>
    <row r="46" spans="1:17" s="204" customFormat="1" ht="21" customHeight="1">
      <c r="A46" s="203">
        <v>44</v>
      </c>
      <c r="B46" s="204" t="s">
        <v>269</v>
      </c>
      <c r="D46" s="203">
        <v>0</v>
      </c>
      <c r="E46" s="203">
        <v>0</v>
      </c>
      <c r="F46" s="204" t="s">
        <v>321</v>
      </c>
      <c r="G46" s="205">
        <v>4</v>
      </c>
      <c r="H46" s="205">
        <v>40</v>
      </c>
      <c r="I46" s="205">
        <f ca="1">RANDBETWEEN(1,24)</f>
        <v>22</v>
      </c>
      <c r="J46" s="204" t="str">
        <f ca="1">IF(RANDBETWEEN(1,100)&lt;=40,LOOKUP(I46,'Gem types'!$B$3:$B$26,'Gem types'!$C$3:$C$26),"none")</f>
        <v>Smoky Quartz</v>
      </c>
      <c r="K46" s="101" t="str">
        <f>IF(I46=0,"",LOOKUP(I46,'Gem types'!$B$3:$B$55,'Gem types'!$D$3:$D$55))</f>
        <v>gray, yellow, or blue (cairngorm), all light</v>
      </c>
      <c r="L46" s="101" t="str">
        <f>IF(I46=0,"",LOOKUP(I46,'Gem types'!$B$3:$B$55,'Gem types'!$F$3:$F$55))</f>
        <v>protection from poison</v>
      </c>
      <c r="M46" s="101" t="s">
        <v>74</v>
      </c>
      <c r="N46" s="203"/>
      <c r="O46" s="203"/>
      <c r="P46" s="203"/>
      <c r="Q46" s="203"/>
    </row>
    <row r="47" spans="1:17" s="204" customFormat="1" ht="21" customHeight="1">
      <c r="A47" s="203">
        <v>45</v>
      </c>
      <c r="B47" s="204" t="s">
        <v>269</v>
      </c>
      <c r="D47" s="203">
        <v>0</v>
      </c>
      <c r="E47" s="203">
        <v>0</v>
      </c>
      <c r="F47" s="204" t="s">
        <v>316</v>
      </c>
      <c r="G47" s="205">
        <v>10</v>
      </c>
      <c r="H47" s="205">
        <v>60</v>
      </c>
      <c r="I47" s="205">
        <f ca="1">RANDBETWEEN(1,24)</f>
        <v>4</v>
      </c>
      <c r="J47" s="204" t="str">
        <f ca="1">IF(RANDBETWEEN(1,100)&lt;=40,LOOKUP(I47,'Gem types'!$B$3:$B$26,'Gem types'!$C$3:$C$26),"none")</f>
        <v>none</v>
      </c>
      <c r="K47" s="101" t="str">
        <f>IF(I47=0,"",LOOKUP(I47,'Gem types'!$B$3:$B$55,'Gem types'!$D$3:$D$55))</f>
        <v>circles of gray, white, brown, blue, and/or green</v>
      </c>
      <c r="L47" s="101" t="str">
        <f>IF(I47=0,"",LOOKUP(I47,'Gem types'!$B$3:$B$55,'Gem types'!$F$3:$F$55))</f>
        <v>induces restful sleep</v>
      </c>
      <c r="M47" s="101" t="s">
        <v>74</v>
      </c>
      <c r="N47" s="203"/>
      <c r="O47" s="203"/>
      <c r="P47" s="203"/>
      <c r="Q47" s="203"/>
    </row>
    <row r="48" spans="1:17" s="204" customFormat="1" ht="21" customHeight="1">
      <c r="A48" s="203">
        <v>46</v>
      </c>
      <c r="B48" s="204" t="s">
        <v>269</v>
      </c>
      <c r="D48" s="203">
        <v>0</v>
      </c>
      <c r="E48" s="203">
        <v>0</v>
      </c>
      <c r="F48" s="204" t="s">
        <v>317</v>
      </c>
      <c r="G48" s="205">
        <v>10</v>
      </c>
      <c r="H48" s="205">
        <v>80</v>
      </c>
      <c r="I48" s="205">
        <f ca="1">RANDBETWEEN(1,24)</f>
        <v>1</v>
      </c>
      <c r="J48" s="204" t="str">
        <f ca="1">IF(RANDBETWEEN(1,100)&lt;=40,LOOKUP(I48,'Gem types'!$B$3:$B$26,'Gem types'!$C$3:$C$26),"none")</f>
        <v>none</v>
      </c>
      <c r="K48" s="101" t="str">
        <f>IF(I48=0,"",LOOKUP(I48,'Gem types'!$B$3:$B$55,'Gem types'!$D$3:$D$55))</f>
        <v>mottled deep blue</v>
      </c>
      <c r="L48" s="101" t="str">
        <f>IF(I48=0,"",LOOKUP(I48,'Gem types'!$B$3:$B$55,'Gem types'!$F$3:$F$55))</f>
        <v>controls bodies of fresh water</v>
      </c>
      <c r="M48" s="101" t="s">
        <v>74</v>
      </c>
      <c r="N48" s="203"/>
      <c r="O48" s="203"/>
      <c r="P48" s="203"/>
      <c r="Q48" s="203"/>
    </row>
    <row r="49" spans="1:17" s="204" customFormat="1" ht="21" customHeight="1">
      <c r="A49" s="203">
        <v>47</v>
      </c>
      <c r="B49" s="204" t="s">
        <v>269</v>
      </c>
      <c r="D49" s="203">
        <v>0</v>
      </c>
      <c r="E49" s="203">
        <v>0</v>
      </c>
      <c r="F49" s="204" t="s">
        <v>318</v>
      </c>
      <c r="G49" s="205">
        <v>20</v>
      </c>
      <c r="H49" s="205">
        <v>120</v>
      </c>
      <c r="I49" s="205">
        <f ca="1">RANDBETWEEN(1,24)</f>
        <v>23</v>
      </c>
      <c r="J49" s="204" t="str">
        <f ca="1">IF(RANDBETWEEN(1,100)&lt;=40,LOOKUP(I49,'Gem types'!$B$3:$B$26,'Gem types'!$C$3:$C$26),"none")</f>
        <v>none</v>
      </c>
      <c r="K49" s="101" t="str">
        <f>IF(I49=0,"",LOOKUP(I49,'Gem types'!$B$3:$B$55,'Gem types'!$D$3:$D$55))</f>
        <v>translucent rosy stone with white "star" center</v>
      </c>
      <c r="L49" s="101" t="str">
        <f>IF(I49=0,"",LOOKUP(I49,'Gem types'!$B$3:$B$55,'Gem types'!$F$3:$F$55))</f>
        <v>induces love and passion</v>
      </c>
      <c r="M49" s="101" t="s">
        <v>74</v>
      </c>
      <c r="N49" s="203"/>
      <c r="O49" s="203"/>
      <c r="P49" s="203"/>
      <c r="Q49" s="203"/>
    </row>
    <row r="50" spans="1:17" s="204" customFormat="1" ht="21" customHeight="1">
      <c r="A50" s="203">
        <v>48</v>
      </c>
      <c r="B50" s="204" t="s">
        <v>269</v>
      </c>
      <c r="D50" s="203">
        <v>0</v>
      </c>
      <c r="E50" s="203">
        <v>0</v>
      </c>
      <c r="F50" s="204" t="s">
        <v>319</v>
      </c>
      <c r="G50" s="205">
        <v>30</v>
      </c>
      <c r="H50" s="205">
        <v>180</v>
      </c>
      <c r="I50" s="205">
        <f ca="1">RANDBETWEEN(1,24)</f>
        <v>2</v>
      </c>
      <c r="J50" s="204" t="str">
        <f ca="1">IF(RANDBETWEEN(1,100)&lt;=40,LOOKUP(I50,'Gem types'!$B$3:$B$26,'Gem types'!$C$3:$C$26),"none")</f>
        <v>Banded Agate</v>
      </c>
      <c r="K50" s="101" t="str">
        <f>IF(I50=0,"",LOOKUP(I50,'Gem types'!$B$3:$B$55,'Gem types'!$D$3:$D$55))</f>
        <v>stripped brown, blue, white, reddish</v>
      </c>
      <c r="L50" s="101" t="str">
        <f>IF(I50=0,"",LOOKUP(I50,'Gem types'!$B$3:$B$55,'Gem types'!$F$3:$F$55))</f>
        <v>induces sleep accompanied by visions</v>
      </c>
      <c r="M50" s="101" t="s">
        <v>74</v>
      </c>
      <c r="N50" s="203"/>
      <c r="O50" s="203"/>
      <c r="P50" s="203"/>
      <c r="Q50" s="203"/>
    </row>
    <row r="51" spans="1:17" s="204" customFormat="1" ht="21" customHeight="1">
      <c r="A51" s="203">
        <v>49</v>
      </c>
      <c r="B51" s="204" t="s">
        <v>270</v>
      </c>
      <c r="D51" s="203">
        <v>4</v>
      </c>
      <c r="E51" s="203">
        <v>16</v>
      </c>
      <c r="F51" s="204" t="s">
        <v>317</v>
      </c>
      <c r="G51" s="205">
        <v>40</v>
      </c>
      <c r="H51" s="205">
        <v>240</v>
      </c>
      <c r="I51" s="205">
        <f ca="1">RANDBETWEEN(13,39)</f>
        <v>31</v>
      </c>
      <c r="J51" s="204" t="str">
        <f ca="1">IF(RANDBETWEEN(1,100)&lt;=80,LOOKUP(I51,'Gem types'!$B$15:$B$41,'Gem types'!$C$15:$C$41),"none")</f>
        <v>Coral</v>
      </c>
      <c r="K51" s="101" t="str">
        <f>IF(I51=0,"",LOOKUP(I51,'Gem types'!$B$3:$B$55,'Gem types'!$D$3:$D$55))</f>
        <v>crimson</v>
      </c>
      <c r="L51" s="101" t="str">
        <f>IF(I51=0,"",LOOKUP(I51,'Gem types'!$B$3:$B$55,'Gem types'!$F$3:$F$55))</f>
        <v>calms weather, safety in river crossing, cures madness, stanches bleeding</v>
      </c>
      <c r="M51" s="101" t="s">
        <v>74</v>
      </c>
      <c r="N51" s="203"/>
      <c r="O51" s="203"/>
      <c r="P51" s="203"/>
      <c r="Q51" s="203"/>
    </row>
    <row r="52" spans="1:17" s="204" customFormat="1" ht="21" customHeight="1">
      <c r="A52" s="203">
        <v>50</v>
      </c>
      <c r="B52" s="204" t="s">
        <v>270</v>
      </c>
      <c r="D52" s="203">
        <v>4</v>
      </c>
      <c r="E52" s="203">
        <v>16</v>
      </c>
      <c r="F52" s="204" t="s">
        <v>318</v>
      </c>
      <c r="G52" s="205">
        <v>50</v>
      </c>
      <c r="H52" s="205">
        <v>400</v>
      </c>
      <c r="I52" s="205">
        <f ca="1">RANDBETWEEN(13,39)</f>
        <v>35</v>
      </c>
      <c r="J52" s="204" t="str">
        <f ca="1">IF(RANDBETWEEN(1,100)&lt;=80,LOOKUP(I52,'Gem types'!$B$15:$B$41,'Gem types'!$C$15:$C$41),"none")</f>
        <v>Pearl</v>
      </c>
      <c r="K52" s="101" t="str">
        <f>IF(I52=0,"",LOOKUP(I52,'Gem types'!$B$3:$B$55,'Gem types'!$D$3:$D$55))</f>
        <v>lustrous white, yellowish, pinkish, etc. to pure black (the most prized)</v>
      </c>
      <c r="L52" s="101" t="str">
        <f>IF(I52=0,"",LOOKUP(I52,'Gem types'!$B$3:$B$55,'Gem types'!$F$3:$F$55))</f>
        <v>guarantees safety while traveling the ocean</v>
      </c>
      <c r="M52" s="101" t="s">
        <v>74</v>
      </c>
      <c r="N52" s="203"/>
      <c r="O52" s="203"/>
      <c r="P52" s="203"/>
      <c r="Q52" s="203"/>
    </row>
    <row r="53" spans="1:17" s="204" customFormat="1" ht="21" customHeight="1">
      <c r="A53" s="203">
        <v>51</v>
      </c>
      <c r="B53" s="204" t="s">
        <v>270</v>
      </c>
      <c r="D53" s="203">
        <v>4</v>
      </c>
      <c r="E53" s="203">
        <v>16</v>
      </c>
      <c r="F53" s="204" t="s">
        <v>319</v>
      </c>
      <c r="G53" s="205">
        <v>80</v>
      </c>
      <c r="H53" s="205">
        <v>500</v>
      </c>
      <c r="I53" s="205">
        <f ca="1">RANDBETWEEN(13,39)</f>
        <v>23</v>
      </c>
      <c r="J53" s="204" t="str">
        <f ca="1">IF(RANDBETWEEN(1,100)&lt;=80,LOOKUP(I53,'Gem types'!$B$15:$B$41,'Gem types'!$C$15:$C$41),"none")</f>
        <v>none</v>
      </c>
      <c r="K53" s="101" t="str">
        <f>IF(I53=0,"",LOOKUP(I53,'Gem types'!$B$3:$B$55,'Gem types'!$D$3:$D$55))</f>
        <v>translucent rosy stone with white "star" center</v>
      </c>
      <c r="L53" s="101" t="str">
        <f>IF(I53=0,"",LOOKUP(I53,'Gem types'!$B$3:$B$55,'Gem types'!$F$3:$F$55))</f>
        <v>induces love and passion</v>
      </c>
      <c r="M53" s="101" t="s">
        <v>74</v>
      </c>
      <c r="N53" s="203"/>
      <c r="O53" s="203"/>
      <c r="P53" s="203"/>
      <c r="Q53" s="203"/>
    </row>
    <row r="54" spans="1:17" s="204" customFormat="1" ht="21" customHeight="1">
      <c r="A54" s="203">
        <v>52</v>
      </c>
      <c r="B54" s="204" t="s">
        <v>271</v>
      </c>
      <c r="D54" s="203">
        <v>6</v>
      </c>
      <c r="E54" s="203">
        <v>24</v>
      </c>
      <c r="F54" s="204" t="s">
        <v>320</v>
      </c>
      <c r="G54" s="205">
        <v>500</v>
      </c>
      <c r="H54" s="205">
        <v>5000</v>
      </c>
      <c r="I54" s="205">
        <f ca="1">RANDBETWEEN(25,53)</f>
        <v>45</v>
      </c>
      <c r="J54" s="204" t="str">
        <f>LOOKUP(I54,'Gem types'!$B$27:$B$55,'Gem types'!$C$27:$C$55)</f>
        <v>Jacinth</v>
      </c>
      <c r="K54" s="101" t="str">
        <f>IF(I54=0,"",LOOKUP(I54,'Gem types'!$B$3:$B$55,'Gem types'!$D$3:$D$55))</f>
        <v>fiery orange</v>
      </c>
      <c r="L54" s="101" t="str">
        <f>IF(I54=0,"",LOOKUP(I54,'Gem types'!$B$3:$B$55,'Gem types'!$F$3:$F$55))</f>
        <v>summons volcanic activity</v>
      </c>
      <c r="M54" s="101" t="s">
        <v>74</v>
      </c>
      <c r="N54" s="203"/>
      <c r="O54" s="203"/>
      <c r="P54" s="203"/>
      <c r="Q54" s="203"/>
    </row>
    <row r="55" spans="1:17" s="204" customFormat="1" ht="21" customHeight="1">
      <c r="A55" s="203">
        <v>53</v>
      </c>
      <c r="B55" s="204" t="s">
        <v>272</v>
      </c>
      <c r="D55" s="203">
        <v>0</v>
      </c>
      <c r="E55" s="203">
        <v>0</v>
      </c>
      <c r="F55" s="204" t="s">
        <v>321</v>
      </c>
      <c r="G55" s="205">
        <v>4</v>
      </c>
      <c r="H55" s="205">
        <v>40</v>
      </c>
      <c r="I55" s="205">
        <f ca="1">RANDBETWEEN(1,24)</f>
        <v>15</v>
      </c>
      <c r="J55" s="204" t="str">
        <f ca="1">IF(RANDBETWEEN(1,100)&lt;=40,LOOKUP(I55,'Gem types'!$B$3:$B$26,'Gem types'!$C$3:$C$26),"none")</f>
        <v>Chalcedony</v>
      </c>
      <c r="K55" s="101" t="str">
        <f>IF(I55=0,"",LOOKUP(I55,'Gem types'!$B$3:$B$55,'Gem types'!$D$3:$D$55))</f>
        <v>white</v>
      </c>
      <c r="L55" s="101" t="str">
        <f>IF(I55=0,"",LOOKUP(I55,'Gem types'!$B$3:$B$55,'Gem types'!$F$3:$F$55))</f>
        <v>wards off undead</v>
      </c>
      <c r="M55" s="101" t="s">
        <v>75</v>
      </c>
      <c r="N55" s="203"/>
      <c r="O55" s="203"/>
      <c r="P55" s="203"/>
      <c r="Q55" s="203"/>
    </row>
    <row r="56" spans="1:17" s="204" customFormat="1" ht="21" customHeight="1">
      <c r="A56" s="203">
        <v>54</v>
      </c>
      <c r="B56" s="204" t="s">
        <v>272</v>
      </c>
      <c r="D56" s="203">
        <v>0</v>
      </c>
      <c r="E56" s="203">
        <v>0</v>
      </c>
      <c r="F56" s="204" t="s">
        <v>316</v>
      </c>
      <c r="G56" s="205">
        <v>10</v>
      </c>
      <c r="H56" s="205">
        <v>60</v>
      </c>
      <c r="I56" s="205">
        <f ca="1">RANDBETWEEN(1,24)</f>
        <v>9</v>
      </c>
      <c r="J56" s="204" t="str">
        <f ca="1">IF(RANDBETWEEN(1,100)&lt;=40,LOOKUP(I56,'Gem types'!$B$3:$B$26,'Gem types'!$C$3:$C$26),"none")</f>
        <v>Obsidian</v>
      </c>
      <c r="K56" s="101" t="str">
        <f>IF(I56=0,"",LOOKUP(I56,'Gem types'!$B$3:$B$55,'Gem types'!$D$3:$D$55))</f>
        <v>black</v>
      </c>
      <c r="L56" s="101" t="str">
        <f>IF(I56=0,"",LOOKUP(I56,'Gem types'!$B$3:$B$55,'Gem types'!$F$3:$F$55))</f>
        <v>protection from good</v>
      </c>
      <c r="M56" s="101" t="s">
        <v>75</v>
      </c>
      <c r="N56" s="203"/>
      <c r="O56" s="203"/>
      <c r="P56" s="203"/>
      <c r="Q56" s="203"/>
    </row>
    <row r="57" spans="1:17" s="204" customFormat="1" ht="21" customHeight="1">
      <c r="A57" s="203">
        <v>55</v>
      </c>
      <c r="B57" s="204" t="s">
        <v>272</v>
      </c>
      <c r="D57" s="203">
        <v>0</v>
      </c>
      <c r="E57" s="203">
        <v>0</v>
      </c>
      <c r="F57" s="204" t="s">
        <v>317</v>
      </c>
      <c r="G57" s="205">
        <v>10</v>
      </c>
      <c r="H57" s="205">
        <v>80</v>
      </c>
      <c r="I57" s="205">
        <f ca="1">RANDBETWEEN(1,24)</f>
        <v>4</v>
      </c>
      <c r="J57" s="204" t="str">
        <f ca="1">IF(RANDBETWEEN(1,100)&lt;=40,LOOKUP(I57,'Gem types'!$B$3:$B$26,'Gem types'!$C$3:$C$26),"none")</f>
        <v>Eye Agate</v>
      </c>
      <c r="K57" s="101" t="str">
        <f>IF(I57=0,"",LOOKUP(I57,'Gem types'!$B$3:$B$55,'Gem types'!$D$3:$D$55))</f>
        <v>circles of gray, white, brown, blue, and/or green</v>
      </c>
      <c r="L57" s="101" t="str">
        <f>IF(I57=0,"",LOOKUP(I57,'Gem types'!$B$3:$B$55,'Gem types'!$F$3:$F$55))</f>
        <v>induces restful sleep</v>
      </c>
      <c r="M57" s="101" t="s">
        <v>75</v>
      </c>
      <c r="N57" s="203"/>
      <c r="O57" s="203"/>
      <c r="P57" s="203"/>
      <c r="Q57" s="203"/>
    </row>
    <row r="58" spans="1:17" s="204" customFormat="1" ht="21" customHeight="1">
      <c r="A58" s="203">
        <v>56</v>
      </c>
      <c r="B58" s="204" t="s">
        <v>272</v>
      </c>
      <c r="D58" s="203">
        <v>0</v>
      </c>
      <c r="E58" s="203">
        <v>0</v>
      </c>
      <c r="F58" s="204" t="s">
        <v>318</v>
      </c>
      <c r="G58" s="205">
        <v>20</v>
      </c>
      <c r="H58" s="205">
        <v>120</v>
      </c>
      <c r="I58" s="205">
        <f ca="1">RANDBETWEEN(1,24)</f>
        <v>3</v>
      </c>
      <c r="J58" s="204" t="str">
        <f ca="1">IF(RANDBETWEEN(1,100)&lt;=40,LOOKUP(I58,'Gem types'!$B$3:$B$26,'Gem types'!$C$3:$C$26),"none")</f>
        <v>Blue Quartz</v>
      </c>
      <c r="K58" s="101" t="str">
        <f>IF(I58=0,"",LOOKUP(I58,'Gem types'!$B$3:$B$55,'Gem types'!$D$3:$D$55))</f>
        <v>pale blue</v>
      </c>
      <c r="L58" s="101" t="str">
        <f>IF(I58=0,"",LOOKUP(I58,'Gem types'!$B$3:$B$55,'Gem types'!$F$3:$F$55))</f>
        <v>controls bodies of salt water</v>
      </c>
      <c r="M58" s="101" t="s">
        <v>75</v>
      </c>
      <c r="N58" s="203"/>
      <c r="O58" s="203"/>
      <c r="P58" s="203"/>
      <c r="Q58" s="203"/>
    </row>
    <row r="59" spans="1:17" s="204" customFormat="1" ht="21" customHeight="1">
      <c r="A59" s="203">
        <v>57</v>
      </c>
      <c r="B59" s="204" t="s">
        <v>272</v>
      </c>
      <c r="D59" s="203">
        <v>0</v>
      </c>
      <c r="E59" s="203">
        <v>0</v>
      </c>
      <c r="F59" s="204" t="s">
        <v>319</v>
      </c>
      <c r="G59" s="205">
        <v>30</v>
      </c>
      <c r="H59" s="205">
        <v>180</v>
      </c>
      <c r="I59" s="205">
        <f ca="1">RANDBETWEEN(1,24)</f>
        <v>14</v>
      </c>
      <c r="J59" s="204" t="str">
        <f ca="1">IF(RANDBETWEEN(1,100)&lt;=40,LOOKUP(I59,'Gem types'!$B$3:$B$26,'Gem types'!$C$3:$C$26),"none")</f>
        <v>Carnelian</v>
      </c>
      <c r="K59" s="101" t="str">
        <f>IF(I59=0,"",LOOKUP(I59,'Gem types'!$B$3:$B$55,'Gem types'!$D$3:$D$55))</f>
        <v>orange to reddish brown</v>
      </c>
      <c r="L59" s="101" t="str">
        <f>IF(I59=0,"",LOOKUP(I59,'Gem types'!$B$3:$B$55,'Gem types'!$F$3:$F$55))</f>
        <v>protection from evil</v>
      </c>
      <c r="M59" s="101" t="s">
        <v>75</v>
      </c>
      <c r="N59" s="203"/>
      <c r="O59" s="203"/>
      <c r="P59" s="203"/>
      <c r="Q59" s="203"/>
    </row>
    <row r="60" spans="1:17" s="204" customFormat="1" ht="21" customHeight="1">
      <c r="A60" s="203">
        <v>58</v>
      </c>
      <c r="B60" s="204" t="s">
        <v>273</v>
      </c>
      <c r="D60" s="203">
        <v>2</v>
      </c>
      <c r="E60" s="203">
        <v>8</v>
      </c>
      <c r="F60" s="204" t="s">
        <v>317</v>
      </c>
      <c r="G60" s="205">
        <v>40</v>
      </c>
      <c r="H60" s="205">
        <v>240</v>
      </c>
      <c r="I60" s="205">
        <f ca="1">RANDBETWEEN(13,39)</f>
        <v>24</v>
      </c>
      <c r="J60" s="204" t="str">
        <f ca="1">IF(RANDBETWEEN(1,100)&lt;=80,LOOKUP(I60,'Gem types'!$B$15:$B$41,'Gem types'!$C$15:$C$41),"none")</f>
        <v>Zircon</v>
      </c>
      <c r="K60" s="101" t="str">
        <f>IF(I60=0,"",LOOKUP(I60,'Gem types'!$B$3:$B$55,'Gem types'!$D$3:$D$55))</f>
        <v>clear pale blue-green</v>
      </c>
      <c r="L60" s="101" t="str">
        <f>IF(I60=0,"",LOOKUP(I60,'Gem types'!$B$3:$B$55,'Gem types'!$F$3:$F$55))</f>
        <v>charms intelligent, water-dwelling creatures</v>
      </c>
      <c r="M60" s="101" t="s">
        <v>75</v>
      </c>
      <c r="N60" s="203"/>
      <c r="O60" s="203"/>
      <c r="P60" s="203"/>
      <c r="Q60" s="203"/>
    </row>
    <row r="61" spans="1:17" s="204" customFormat="1" ht="21" customHeight="1">
      <c r="A61" s="203">
        <v>59</v>
      </c>
      <c r="B61" s="204" t="s">
        <v>273</v>
      </c>
      <c r="D61" s="203">
        <v>2</v>
      </c>
      <c r="E61" s="203">
        <v>8</v>
      </c>
      <c r="F61" s="204" t="s">
        <v>318</v>
      </c>
      <c r="G61" s="205">
        <v>50</v>
      </c>
      <c r="H61" s="205">
        <v>400</v>
      </c>
      <c r="I61" s="205">
        <f ca="1">RANDBETWEEN(13,39)</f>
        <v>17</v>
      </c>
      <c r="J61" s="204" t="str">
        <f ca="1">IF(RANDBETWEEN(1,100)&lt;=80,LOOKUP(I61,'Gem types'!$B$15:$B$41,'Gem types'!$C$15:$C$41),"none")</f>
        <v>Jasper</v>
      </c>
      <c r="K61" s="101" t="str">
        <f>IF(I61=0,"",LOOKUP(I61,'Gem types'!$B$3:$B$55,'Gem types'!$D$3:$D$55))</f>
        <v>blue, black to brown</v>
      </c>
      <c r="L61" s="101" t="str">
        <f>IF(I61=0,"",LOOKUP(I61,'Gem types'!$B$3:$B$55,'Gem types'!$F$3:$F$55))</f>
        <v>protection from venom</v>
      </c>
      <c r="M61" s="101" t="s">
        <v>75</v>
      </c>
      <c r="N61" s="203"/>
      <c r="O61" s="203"/>
      <c r="P61" s="203"/>
      <c r="Q61" s="203"/>
    </row>
    <row r="62" spans="1:17" s="204" customFormat="1" ht="21" customHeight="1">
      <c r="A62" s="203">
        <v>60</v>
      </c>
      <c r="B62" s="204" t="s">
        <v>273</v>
      </c>
      <c r="D62" s="203">
        <v>2</v>
      </c>
      <c r="E62" s="203">
        <v>8</v>
      </c>
      <c r="F62" s="204" t="s">
        <v>319</v>
      </c>
      <c r="G62" s="205">
        <v>80</v>
      </c>
      <c r="H62" s="205">
        <v>500</v>
      </c>
      <c r="I62" s="205">
        <f ca="1">RANDBETWEEN(13,39)</f>
        <v>36</v>
      </c>
      <c r="J62" s="204" t="str">
        <f ca="1">IF(RANDBETWEEN(1,100)&lt;=80,LOOKUP(I62,'Gem types'!$B$15:$B$41,'Gem types'!$C$15:$C$41),"none")</f>
        <v>Peridot</v>
      </c>
      <c r="K62" s="101" t="str">
        <f>IF(I62=0,"",LOOKUP(I62,'Gem types'!$B$3:$B$55,'Gem types'!$D$3:$D$55))</f>
        <v>rich olive green (Chrysolite)</v>
      </c>
      <c r="L62" s="101" t="str">
        <f>IF(I62=0,"",LOOKUP(I62,'Gem types'!$B$3:$B$55,'Gem types'!$F$3:$F$55))</f>
        <v>wards off enchaments</v>
      </c>
      <c r="M62" s="101" t="s">
        <v>75</v>
      </c>
      <c r="N62" s="203"/>
      <c r="O62" s="203"/>
      <c r="P62" s="203"/>
      <c r="Q62" s="203"/>
    </row>
    <row r="63" spans="1:17" s="204" customFormat="1" ht="21" customHeight="1">
      <c r="A63" s="203">
        <v>61</v>
      </c>
      <c r="B63" s="204" t="s">
        <v>274</v>
      </c>
      <c r="D63" s="203">
        <v>3</v>
      </c>
      <c r="E63" s="203">
        <v>12</v>
      </c>
      <c r="F63" s="204" t="s">
        <v>320</v>
      </c>
      <c r="G63" s="205">
        <v>500</v>
      </c>
      <c r="H63" s="205">
        <v>5000</v>
      </c>
      <c r="I63" s="205">
        <f ca="1">RANDBETWEEN(25,53)</f>
        <v>48</v>
      </c>
      <c r="J63" s="204" t="str">
        <f>LOOKUP(I63,'Gem types'!$B$27:$B$55,'Gem types'!$C$27:$C$55)</f>
        <v>Oriental (elven) Emerald</v>
      </c>
      <c r="K63" s="101" t="str">
        <f>IF(I63=0,"",LOOKUP(I63,'Gem types'!$B$3:$B$55,'Gem types'!$D$3:$D$55))</f>
        <v>clear bright green</v>
      </c>
      <c r="L63" s="101" t="str">
        <f>IF(I63=0,"",LOOKUP(I63,'Gem types'!$B$3:$B$55,'Gem types'!$F$3:$F$55))</f>
        <v>aids monks, increases dexterity</v>
      </c>
      <c r="M63" s="101" t="s">
        <v>75</v>
      </c>
      <c r="N63" s="203"/>
      <c r="O63" s="203"/>
      <c r="P63" s="203"/>
      <c r="Q63" s="203"/>
    </row>
    <row r="64" spans="1:17" s="204" customFormat="1" ht="21" customHeight="1">
      <c r="A64" s="203">
        <v>62</v>
      </c>
      <c r="B64" s="204" t="s">
        <v>275</v>
      </c>
      <c r="D64" s="203">
        <v>0</v>
      </c>
      <c r="E64" s="203">
        <v>0</v>
      </c>
      <c r="F64" s="204" t="s">
        <v>321</v>
      </c>
      <c r="G64" s="205">
        <v>4</v>
      </c>
      <c r="H64" s="205">
        <v>40</v>
      </c>
      <c r="I64" s="205">
        <f ca="1">RANDBETWEEN(1,24)</f>
        <v>14</v>
      </c>
      <c r="J64" s="204" t="str">
        <f ca="1">IF(RANDBETWEEN(1,100)&lt;=40,LOOKUP(I64,'Gem types'!$B$3:$B$26,'Gem types'!$C$3:$C$26),"none")</f>
        <v>none</v>
      </c>
      <c r="K64" s="101" t="str">
        <f>IF(I64=0,"",LOOKUP(I64,'Gem types'!$B$3:$B$55,'Gem types'!$D$3:$D$55))</f>
        <v>orange to reddish brown</v>
      </c>
      <c r="L64" s="101" t="str">
        <f>IF(I64=0,"",LOOKUP(I64,'Gem types'!$B$3:$B$55,'Gem types'!$F$3:$F$55))</f>
        <v>protection from evil</v>
      </c>
      <c r="M64" s="101" t="s">
        <v>0</v>
      </c>
      <c r="N64" s="203"/>
      <c r="O64" s="203"/>
      <c r="P64" s="203"/>
      <c r="Q64" s="203"/>
    </row>
    <row r="65" spans="1:17" s="204" customFormat="1" ht="21" customHeight="1">
      <c r="A65" s="203">
        <v>63</v>
      </c>
      <c r="B65" s="204" t="s">
        <v>275</v>
      </c>
      <c r="D65" s="203">
        <v>0</v>
      </c>
      <c r="E65" s="203">
        <v>0</v>
      </c>
      <c r="F65" s="204" t="s">
        <v>316</v>
      </c>
      <c r="G65" s="205">
        <v>10</v>
      </c>
      <c r="H65" s="205">
        <v>60</v>
      </c>
      <c r="I65" s="205">
        <f ca="1">RANDBETWEEN(1,24)</f>
        <v>1</v>
      </c>
      <c r="J65" s="204" t="str">
        <f ca="1">IF(RANDBETWEEN(1,100)&lt;=40,LOOKUP(I65,'Gem types'!$B$3:$B$26,'Gem types'!$C$3:$C$26),"none")</f>
        <v>Azurite</v>
      </c>
      <c r="K65" s="101" t="str">
        <f>IF(I65=0,"",LOOKUP(I65,'Gem types'!$B$3:$B$55,'Gem types'!$D$3:$D$55))</f>
        <v>mottled deep blue</v>
      </c>
      <c r="L65" s="101" t="str">
        <f>IF(I65=0,"",LOOKUP(I65,'Gem types'!$B$3:$B$55,'Gem types'!$F$3:$F$55))</f>
        <v>controls bodies of fresh water</v>
      </c>
      <c r="M65" s="101" t="s">
        <v>0</v>
      </c>
      <c r="N65" s="203"/>
      <c r="O65" s="203"/>
      <c r="P65" s="203"/>
      <c r="Q65" s="203"/>
    </row>
    <row r="66" spans="1:17" s="204" customFormat="1" ht="21" customHeight="1">
      <c r="A66" s="203">
        <v>64</v>
      </c>
      <c r="B66" s="204" t="s">
        <v>275</v>
      </c>
      <c r="D66" s="203">
        <v>0</v>
      </c>
      <c r="E66" s="203">
        <v>0</v>
      </c>
      <c r="F66" s="204" t="s">
        <v>317</v>
      </c>
      <c r="G66" s="205">
        <v>10</v>
      </c>
      <c r="H66" s="205">
        <v>80</v>
      </c>
      <c r="I66" s="205">
        <f ca="1">RANDBETWEEN(1,24)</f>
        <v>10</v>
      </c>
      <c r="J66" s="204" t="str">
        <f ca="1">IF(RANDBETWEEN(1,100)&lt;=40,LOOKUP(I66,'Gem types'!$B$3:$B$26,'Gem types'!$C$3:$C$26),"none")</f>
        <v>none</v>
      </c>
      <c r="K66" s="101" t="str">
        <f>IF(I66=0,"",LOOKUP(I66,'Gem types'!$B$3:$B$55,'Gem types'!$D$3:$D$55))</f>
        <v>light pink</v>
      </c>
      <c r="L66" s="101" t="str">
        <f>IF(I66=0,"",LOOKUP(I66,'Gem types'!$B$3:$B$55,'Gem types'!$F$3:$F$55))</f>
        <v>ensures healthy pregnancy, and eases delivery of babies</v>
      </c>
      <c r="M66" s="101" t="s">
        <v>0</v>
      </c>
      <c r="N66" s="203"/>
      <c r="O66" s="203"/>
      <c r="P66" s="203"/>
      <c r="Q66" s="203"/>
    </row>
    <row r="67" spans="1:17" s="204" customFormat="1" ht="21" customHeight="1">
      <c r="A67" s="203">
        <v>65</v>
      </c>
      <c r="B67" s="204" t="s">
        <v>275</v>
      </c>
      <c r="D67" s="203">
        <v>0</v>
      </c>
      <c r="E67" s="203">
        <v>0</v>
      </c>
      <c r="F67" s="204" t="s">
        <v>318</v>
      </c>
      <c r="G67" s="205">
        <v>20</v>
      </c>
      <c r="H67" s="205">
        <v>120</v>
      </c>
      <c r="I67" s="205">
        <f ca="1">RANDBETWEEN(1,24)</f>
        <v>5</v>
      </c>
      <c r="J67" s="204" t="str">
        <f ca="1">IF(RANDBETWEEN(1,100)&lt;=40,LOOKUP(I67,'Gem types'!$B$3:$B$26,'Gem types'!$C$3:$C$26),"none")</f>
        <v>none</v>
      </c>
      <c r="K67" s="101" t="str">
        <f>IF(I67=0,"",LOOKUP(I67,'Gem types'!$B$3:$B$55,'Gem types'!$D$3:$D$55))</f>
        <v>gray-black</v>
      </c>
      <c r="L67" s="101" t="str">
        <f>IF(I67=0,"",LOOKUP(I67,'Gem types'!$B$3:$B$55,'Gem types'!$F$3:$F$55))</f>
        <v>aids fighters, heals wounds</v>
      </c>
      <c r="M67" s="101" t="s">
        <v>0</v>
      </c>
      <c r="N67" s="203"/>
      <c r="O67" s="203"/>
      <c r="P67" s="203"/>
      <c r="Q67" s="203"/>
    </row>
    <row r="68" spans="1:17" s="204" customFormat="1" ht="21" customHeight="1">
      <c r="A68" s="203">
        <v>66</v>
      </c>
      <c r="B68" s="204" t="s">
        <v>275</v>
      </c>
      <c r="D68" s="203">
        <v>0</v>
      </c>
      <c r="E68" s="203">
        <v>0</v>
      </c>
      <c r="F68" s="204" t="s">
        <v>319</v>
      </c>
      <c r="G68" s="205">
        <v>30</v>
      </c>
      <c r="H68" s="205">
        <v>180</v>
      </c>
      <c r="I68" s="205">
        <f ca="1">RANDBETWEEN(1,24)</f>
        <v>11</v>
      </c>
      <c r="J68" s="204" t="str">
        <f ca="1">IF(RANDBETWEEN(1,100)&lt;=40,LOOKUP(I68,'Gem types'!$B$3:$B$26,'Gem types'!$C$3:$C$26),"none")</f>
        <v>none</v>
      </c>
      <c r="K68" s="101" t="str">
        <f>IF(I68=0,"",LOOKUP(I68,'Gem types'!$B$3:$B$55,'Gem types'!$D$3:$D$55))</f>
        <v>rich brown with golden center under-hue</v>
      </c>
      <c r="L68" s="101" t="str">
        <f>IF(I68=0,"",LOOKUP(I68,'Gem types'!$B$3:$B$55,'Gem types'!$F$3:$F$55))</f>
        <v>protection against large cats (tigers, lions, panthers, etc.)</v>
      </c>
      <c r="M68" s="101" t="s">
        <v>0</v>
      </c>
      <c r="N68" s="203"/>
      <c r="O68" s="203"/>
      <c r="P68" s="203"/>
      <c r="Q68" s="203"/>
    </row>
    <row r="69" spans="1:17" s="204" customFormat="1" ht="21" customHeight="1">
      <c r="A69" s="203">
        <v>67</v>
      </c>
      <c r="B69" s="204" t="s">
        <v>276</v>
      </c>
      <c r="D69" s="203">
        <v>4</v>
      </c>
      <c r="E69" s="203">
        <v>16</v>
      </c>
      <c r="F69" s="204" t="s">
        <v>317</v>
      </c>
      <c r="G69" s="205">
        <v>40</v>
      </c>
      <c r="H69" s="205">
        <v>240</v>
      </c>
      <c r="I69" s="205">
        <f ca="1">RANDBETWEEN(13,39)</f>
        <v>36</v>
      </c>
      <c r="J69" s="204" t="str">
        <f ca="1">IF(RANDBETWEEN(1,100)&lt;=80,LOOKUP(I69,'Gem types'!$B$15:$B$41,'Gem types'!$C$15:$C$41),"none")</f>
        <v>Peridot</v>
      </c>
      <c r="K69" s="101" t="str">
        <f>IF(I69=0,"",LOOKUP(I69,'Gem types'!$B$3:$B$55,'Gem types'!$D$3:$D$55))</f>
        <v>rich olive green (Chrysolite)</v>
      </c>
      <c r="L69" s="101" t="str">
        <f>IF(I69=0,"",LOOKUP(I69,'Gem types'!$B$3:$B$55,'Gem types'!$F$3:$F$55))</f>
        <v>wards off enchaments</v>
      </c>
      <c r="M69" s="101" t="s">
        <v>0</v>
      </c>
      <c r="N69" s="203"/>
      <c r="O69" s="203"/>
      <c r="P69" s="203"/>
      <c r="Q69" s="203"/>
    </row>
    <row r="70" spans="1:17" s="204" customFormat="1" ht="21" customHeight="1">
      <c r="A70" s="203">
        <v>68</v>
      </c>
      <c r="B70" s="204" t="s">
        <v>276</v>
      </c>
      <c r="D70" s="203">
        <v>4</v>
      </c>
      <c r="E70" s="203">
        <v>16</v>
      </c>
      <c r="F70" s="204" t="s">
        <v>318</v>
      </c>
      <c r="G70" s="205">
        <v>50</v>
      </c>
      <c r="H70" s="205">
        <v>400</v>
      </c>
      <c r="I70" s="205">
        <f ca="1">RANDBETWEEN(13,39)</f>
        <v>22</v>
      </c>
      <c r="J70" s="204" t="str">
        <f ca="1">IF(RANDBETWEEN(1,100)&lt;=80,LOOKUP(I70,'Gem types'!$B$15:$B$41,'Gem types'!$C$15:$C$41),"none")</f>
        <v>Smoky Quartz</v>
      </c>
      <c r="K70" s="101" t="str">
        <f>IF(I70=0,"",LOOKUP(I70,'Gem types'!$B$3:$B$55,'Gem types'!$D$3:$D$55))</f>
        <v>gray, yellow, or blue (cairngorm), all light</v>
      </c>
      <c r="L70" s="101" t="str">
        <f>IF(I70=0,"",LOOKUP(I70,'Gem types'!$B$3:$B$55,'Gem types'!$F$3:$F$55))</f>
        <v>protection from poison</v>
      </c>
      <c r="M70" s="101" t="s">
        <v>0</v>
      </c>
      <c r="N70" s="203"/>
      <c r="O70" s="203"/>
      <c r="P70" s="203"/>
      <c r="Q70" s="203"/>
    </row>
    <row r="71" spans="1:17" s="204" customFormat="1" ht="21" customHeight="1">
      <c r="A71" s="203">
        <v>69</v>
      </c>
      <c r="B71" s="204" t="s">
        <v>276</v>
      </c>
      <c r="D71" s="203">
        <v>4</v>
      </c>
      <c r="E71" s="203">
        <v>16</v>
      </c>
      <c r="F71" s="204" t="s">
        <v>319</v>
      </c>
      <c r="G71" s="205">
        <v>80</v>
      </c>
      <c r="H71" s="205">
        <v>500</v>
      </c>
      <c r="I71" s="205">
        <f ca="1">RANDBETWEEN(13,39)</f>
        <v>26</v>
      </c>
      <c r="J71" s="204" t="str">
        <f ca="1">IF(RANDBETWEEN(1,100)&lt;=80,LOOKUP(I71,'Gem types'!$B$15:$B$41,'Gem types'!$C$15:$C$41),"none")</f>
        <v>Alexandrite</v>
      </c>
      <c r="K71" s="101" t="str">
        <f>IF(I71=0,"",LOOKUP(I71,'Gem types'!$B$3:$B$55,'Gem types'!$D$3:$D$55))</f>
        <v>dark green</v>
      </c>
      <c r="L71" s="101" t="str">
        <f>IF(I71=0,"",LOOKUP(I71,'Gem types'!$B$3:$B$55,'Gem types'!$F$3:$F$55))</f>
        <v>good omens</v>
      </c>
      <c r="M71" s="101" t="s">
        <v>0</v>
      </c>
      <c r="N71" s="203"/>
      <c r="O71" s="203"/>
      <c r="P71" s="203"/>
      <c r="Q71" s="203"/>
    </row>
    <row r="72" spans="1:17" s="204" customFormat="1" ht="21" customHeight="1">
      <c r="A72" s="203">
        <v>70</v>
      </c>
      <c r="B72" s="204" t="s">
        <v>277</v>
      </c>
      <c r="D72" s="203">
        <v>6</v>
      </c>
      <c r="E72" s="203">
        <v>24</v>
      </c>
      <c r="F72" s="204" t="s">
        <v>320</v>
      </c>
      <c r="G72" s="205">
        <v>100</v>
      </c>
      <c r="H72" s="205">
        <v>1000</v>
      </c>
      <c r="I72" s="205">
        <f ca="1">RANDBETWEEN(25,53)</f>
        <v>25</v>
      </c>
      <c r="J72" s="204" t="str">
        <f>LOOKUP(I72,'Gem types'!$B$27:$B$55,'Gem types'!$C$27:$C$55)</f>
        <v>Amber</v>
      </c>
      <c r="K72" s="101" t="str">
        <f>IF(I72=0,"",LOOKUP(I72,'Gem types'!$B$3:$B$55,'Gem types'!$D$3:$D$55))</f>
        <v>watery gold to rich gold</v>
      </c>
      <c r="L72" s="101" t="str">
        <f>IF(I72=0,"",LOOKUP(I72,'Gem types'!$B$3:$B$55,'Gem types'!$F$3:$F$55))</f>
        <v>wards off disease</v>
      </c>
      <c r="M72" s="101" t="s">
        <v>0</v>
      </c>
      <c r="N72" s="203"/>
      <c r="O72" s="203"/>
      <c r="P72" s="203"/>
      <c r="Q72" s="203"/>
    </row>
    <row r="73" spans="1:17" s="204" customFormat="1" ht="21" customHeight="1">
      <c r="A73" s="203">
        <v>71</v>
      </c>
      <c r="B73" s="204" t="s">
        <v>287</v>
      </c>
      <c r="D73" s="203">
        <v>0</v>
      </c>
      <c r="E73" s="203">
        <v>0</v>
      </c>
      <c r="F73" s="204" t="s">
        <v>321</v>
      </c>
      <c r="G73" s="205">
        <v>4</v>
      </c>
      <c r="H73" s="205">
        <v>40</v>
      </c>
      <c r="I73" s="205">
        <f ca="1">RANDBETWEEN(1,24)</f>
        <v>15</v>
      </c>
      <c r="J73" s="204" t="str">
        <f ca="1">IF(RANDBETWEEN(1,100)&lt;=40,LOOKUP(I73,'Gem types'!$B$3:$B$26,'Gem types'!$C$3:$C$26),"none")</f>
        <v>none</v>
      </c>
      <c r="K73" s="101" t="str">
        <f>IF(I73=0,"",LOOKUP(I73,'Gem types'!$B$3:$B$55,'Gem types'!$D$3:$D$55))</f>
        <v>white</v>
      </c>
      <c r="L73" s="101" t="str">
        <f>IF(I73=0,"",LOOKUP(I73,'Gem types'!$B$3:$B$55,'Gem types'!$F$3:$F$55))</f>
        <v>wards off undead</v>
      </c>
      <c r="M73" s="101" t="s">
        <v>2</v>
      </c>
      <c r="N73" s="203"/>
      <c r="O73" s="203"/>
      <c r="P73" s="203"/>
      <c r="Q73" s="203"/>
    </row>
    <row r="74" spans="1:17" s="204" customFormat="1" ht="21" customHeight="1">
      <c r="A74" s="203">
        <v>72</v>
      </c>
      <c r="B74" s="204" t="s">
        <v>287</v>
      </c>
      <c r="D74" s="203">
        <v>0</v>
      </c>
      <c r="E74" s="203">
        <v>0</v>
      </c>
      <c r="F74" s="204" t="s">
        <v>316</v>
      </c>
      <c r="G74" s="205">
        <v>10</v>
      </c>
      <c r="H74" s="205">
        <v>60</v>
      </c>
      <c r="I74" s="205">
        <f ca="1">RANDBETWEEN(1,24)</f>
        <v>3</v>
      </c>
      <c r="J74" s="204" t="str">
        <f ca="1">IF(RANDBETWEEN(1,100)&lt;=40,LOOKUP(I74,'Gem types'!$B$3:$B$26,'Gem types'!$C$3:$C$26),"none")</f>
        <v>none</v>
      </c>
      <c r="K74" s="101" t="str">
        <f>IF(I74=0,"",LOOKUP(I74,'Gem types'!$B$3:$B$55,'Gem types'!$D$3:$D$55))</f>
        <v>pale blue</v>
      </c>
      <c r="L74" s="101" t="str">
        <f>IF(I74=0,"",LOOKUP(I74,'Gem types'!$B$3:$B$55,'Gem types'!$F$3:$F$55))</f>
        <v>controls bodies of salt water</v>
      </c>
      <c r="M74" s="101" t="s">
        <v>2</v>
      </c>
      <c r="N74" s="203"/>
      <c r="O74" s="203"/>
      <c r="P74" s="203"/>
      <c r="Q74" s="203"/>
    </row>
    <row r="75" spans="1:17" s="204" customFormat="1" ht="21" customHeight="1">
      <c r="A75" s="203">
        <v>73</v>
      </c>
      <c r="B75" s="204" t="s">
        <v>287</v>
      </c>
      <c r="D75" s="203">
        <v>0</v>
      </c>
      <c r="E75" s="203">
        <v>0</v>
      </c>
      <c r="F75" s="204" t="s">
        <v>317</v>
      </c>
      <c r="G75" s="205">
        <v>10</v>
      </c>
      <c r="H75" s="205">
        <v>80</v>
      </c>
      <c r="I75" s="205">
        <f ca="1">RANDBETWEEN(1,24)</f>
        <v>10</v>
      </c>
      <c r="J75" s="204" t="str">
        <f ca="1">IF(RANDBETWEEN(1,100)&lt;=40,LOOKUP(I75,'Gem types'!$B$3:$B$26,'Gem types'!$C$3:$C$26),"none")</f>
        <v>none</v>
      </c>
      <c r="K75" s="101" t="str">
        <f>IF(I75=0,"",LOOKUP(I75,'Gem types'!$B$3:$B$55,'Gem types'!$D$3:$D$55))</f>
        <v>light pink</v>
      </c>
      <c r="L75" s="101" t="str">
        <f>IF(I75=0,"",LOOKUP(I75,'Gem types'!$B$3:$B$55,'Gem types'!$F$3:$F$55))</f>
        <v>ensures healthy pregnancy, and eases delivery of babies</v>
      </c>
      <c r="M75" s="101" t="s">
        <v>2</v>
      </c>
      <c r="N75" s="203"/>
      <c r="O75" s="203"/>
      <c r="P75" s="203"/>
      <c r="Q75" s="203"/>
    </row>
    <row r="76" spans="1:17" s="204" customFormat="1" ht="21" customHeight="1">
      <c r="A76" s="203">
        <v>74</v>
      </c>
      <c r="B76" s="204" t="s">
        <v>287</v>
      </c>
      <c r="D76" s="203">
        <v>0</v>
      </c>
      <c r="E76" s="203">
        <v>0</v>
      </c>
      <c r="F76" s="204" t="s">
        <v>318</v>
      </c>
      <c r="G76" s="205">
        <v>20</v>
      </c>
      <c r="H76" s="205">
        <v>120</v>
      </c>
      <c r="I76" s="205">
        <f ca="1">RANDBETWEEN(1,24)</f>
        <v>17</v>
      </c>
      <c r="J76" s="204" t="str">
        <f ca="1">IF(RANDBETWEEN(1,100)&lt;=40,LOOKUP(I76,'Gem types'!$B$3:$B$26,'Gem types'!$C$3:$C$26),"none")</f>
        <v>Jasper</v>
      </c>
      <c r="K76" s="101" t="str">
        <f>IF(I76=0,"",LOOKUP(I76,'Gem types'!$B$3:$B$55,'Gem types'!$D$3:$D$55))</f>
        <v>blue, black to brown</v>
      </c>
      <c r="L76" s="101" t="str">
        <f>IF(I76=0,"",LOOKUP(I76,'Gem types'!$B$3:$B$55,'Gem types'!$F$3:$F$55))</f>
        <v>protection from venom</v>
      </c>
      <c r="M76" s="101" t="s">
        <v>2</v>
      </c>
      <c r="N76" s="203"/>
      <c r="O76" s="203"/>
      <c r="P76" s="203"/>
      <c r="Q76" s="203"/>
    </row>
    <row r="77" spans="1:17" s="204" customFormat="1" ht="21" customHeight="1">
      <c r="A77" s="203">
        <v>75</v>
      </c>
      <c r="B77" s="204" t="s">
        <v>287</v>
      </c>
      <c r="D77" s="203">
        <v>0</v>
      </c>
      <c r="E77" s="203">
        <v>0</v>
      </c>
      <c r="F77" s="204" t="s">
        <v>319</v>
      </c>
      <c r="G77" s="205">
        <v>30</v>
      </c>
      <c r="H77" s="205">
        <v>180</v>
      </c>
      <c r="I77" s="205">
        <f ca="1">RANDBETWEEN(1,24)</f>
        <v>22</v>
      </c>
      <c r="J77" s="204" t="str">
        <f ca="1">IF(RANDBETWEEN(1,100)&lt;=40,LOOKUP(I77,'Gem types'!$B$3:$B$26,'Gem types'!$C$3:$C$26),"none")</f>
        <v>none</v>
      </c>
      <c r="K77" s="101" t="str">
        <f>IF(I77=0,"",LOOKUP(I77,'Gem types'!$B$3:$B$55,'Gem types'!$D$3:$D$55))</f>
        <v>gray, yellow, or blue (cairngorm), all light</v>
      </c>
      <c r="L77" s="101" t="str">
        <f>IF(I77=0,"",LOOKUP(I77,'Gem types'!$B$3:$B$55,'Gem types'!$F$3:$F$55))</f>
        <v>protection from poison</v>
      </c>
      <c r="M77" s="101" t="s">
        <v>2</v>
      </c>
      <c r="N77" s="203"/>
      <c r="O77" s="203"/>
      <c r="P77" s="203"/>
      <c r="Q77" s="203"/>
    </row>
    <row r="78" spans="1:17" s="204" customFormat="1" ht="21" customHeight="1">
      <c r="A78" s="203">
        <v>76</v>
      </c>
      <c r="B78" s="204" t="s">
        <v>288</v>
      </c>
      <c r="D78" s="203">
        <v>10</v>
      </c>
      <c r="E78" s="203">
        <v>40</v>
      </c>
      <c r="F78" s="204" t="s">
        <v>317</v>
      </c>
      <c r="G78" s="205">
        <v>40</v>
      </c>
      <c r="H78" s="205">
        <v>240</v>
      </c>
      <c r="I78" s="205">
        <f ca="1">RANDBETWEEN(13,39)</f>
        <v>25</v>
      </c>
      <c r="J78" s="204" t="str">
        <f ca="1">IF(RANDBETWEEN(1,100)&lt;=80,LOOKUP(I78,'Gem types'!$B$15:$B$41,'Gem types'!$C$15:$C$41),"none")</f>
        <v>Amber</v>
      </c>
      <c r="K78" s="101" t="str">
        <f>IF(I78=0,"",LOOKUP(I78,'Gem types'!$B$3:$B$55,'Gem types'!$D$3:$D$55))</f>
        <v>watery gold to rich gold</v>
      </c>
      <c r="L78" s="101" t="str">
        <f>IF(I78=0,"",LOOKUP(I78,'Gem types'!$B$3:$B$55,'Gem types'!$F$3:$F$55))</f>
        <v>wards off disease</v>
      </c>
      <c r="M78" s="101" t="s">
        <v>2</v>
      </c>
      <c r="N78" s="203"/>
      <c r="O78" s="203"/>
      <c r="P78" s="203"/>
      <c r="Q78" s="203"/>
    </row>
    <row r="79" spans="1:17" s="204" customFormat="1" ht="21" customHeight="1">
      <c r="A79" s="203">
        <v>77</v>
      </c>
      <c r="B79" s="204" t="s">
        <v>288</v>
      </c>
      <c r="D79" s="203">
        <v>10</v>
      </c>
      <c r="E79" s="203">
        <v>40</v>
      </c>
      <c r="F79" s="204" t="s">
        <v>318</v>
      </c>
      <c r="G79" s="205">
        <v>50</v>
      </c>
      <c r="H79" s="205">
        <v>400</v>
      </c>
      <c r="I79" s="205">
        <f ca="1">RANDBETWEEN(13,39)</f>
        <v>22</v>
      </c>
      <c r="J79" s="204" t="str">
        <f ca="1">IF(RANDBETWEEN(1,100)&lt;=80,LOOKUP(I79,'Gem types'!$B$15:$B$41,'Gem types'!$C$15:$C$41),"none")</f>
        <v>Smoky Quartz</v>
      </c>
      <c r="K79" s="101" t="str">
        <f>IF(I79=0,"",LOOKUP(I79,'Gem types'!$B$3:$B$55,'Gem types'!$D$3:$D$55))</f>
        <v>gray, yellow, or blue (cairngorm), all light</v>
      </c>
      <c r="L79" s="101" t="str">
        <f>IF(I79=0,"",LOOKUP(I79,'Gem types'!$B$3:$B$55,'Gem types'!$F$3:$F$55))</f>
        <v>protection from poison</v>
      </c>
      <c r="M79" s="101" t="s">
        <v>2</v>
      </c>
      <c r="N79" s="203"/>
      <c r="O79" s="203"/>
      <c r="P79" s="203"/>
      <c r="Q79" s="203"/>
    </row>
    <row r="80" spans="1:17" s="204" customFormat="1" ht="21" customHeight="1">
      <c r="A80" s="203">
        <v>78</v>
      </c>
      <c r="B80" s="204" t="s">
        <v>288</v>
      </c>
      <c r="D80" s="203">
        <v>10</v>
      </c>
      <c r="E80" s="203">
        <v>40</v>
      </c>
      <c r="F80" s="204" t="s">
        <v>319</v>
      </c>
      <c r="G80" s="205">
        <v>80</v>
      </c>
      <c r="H80" s="205">
        <v>500</v>
      </c>
      <c r="I80" s="205">
        <f ca="1">RANDBETWEEN(13,39)</f>
        <v>37</v>
      </c>
      <c r="J80" s="204" t="str">
        <f ca="1">IF(RANDBETWEEN(1,100)&lt;=80,LOOKUP(I80,'Gem types'!$B$15:$B$41,'Gem types'!$C$15:$C$41),"none")</f>
        <v>Spinel</v>
      </c>
      <c r="K80" s="101" t="str">
        <f>IF(I80=0,"",LOOKUP(I80,'Gem types'!$B$3:$B$55,'Gem types'!$D$3:$D$55))</f>
        <v>red, red-brown, deep green, or very deep blue (the most prized)</v>
      </c>
      <c r="L80" s="101" t="str">
        <f>IF(I80=0,"",LOOKUP(I80,'Gem types'!$B$3:$B$55,'Gem types'!$F$3:$F$55))</f>
        <v>aids rangers, enhances tracking skills, guarantees successful hunting</v>
      </c>
      <c r="M80" s="101" t="s">
        <v>2</v>
      </c>
      <c r="N80" s="203"/>
      <c r="O80" s="203"/>
      <c r="P80" s="203"/>
      <c r="Q80" s="203"/>
    </row>
    <row r="81" spans="1:17" s="204" customFormat="1" ht="21" customHeight="1">
      <c r="A81" s="203">
        <v>79</v>
      </c>
      <c r="B81" s="204" t="s">
        <v>262</v>
      </c>
      <c r="D81" s="203">
        <v>0</v>
      </c>
      <c r="E81" s="203">
        <v>0</v>
      </c>
      <c r="F81" s="204" t="s">
        <v>317</v>
      </c>
      <c r="G81" s="205">
        <v>10</v>
      </c>
      <c r="H81" s="205">
        <v>60</v>
      </c>
      <c r="I81" s="205">
        <f ca="1">RANDBETWEEN(1,24)</f>
        <v>19</v>
      </c>
      <c r="J81" s="204" t="str">
        <f ca="1">IF(RANDBETWEEN(1,100)&lt;=40,LOOKUP(I81,'Gem types'!$B$3:$B$26,'Gem types'!$C$3:$C$26),"none")</f>
        <v>none</v>
      </c>
      <c r="K81" s="101" t="str">
        <f>IF(I81=0,"",LOOKUP(I81,'Gem types'!$B$3:$B$55,'Gem types'!$D$3:$D$55))</f>
        <v>bands of black and white, else pure black or white</v>
      </c>
      <c r="L81" s="101" t="str">
        <f>IF(I81=0,"",LOOKUP(I81,'Gem types'!$B$3:$B$55,'Gem types'!$F$3:$F$55))</f>
        <v>causes discord amongst enemies</v>
      </c>
      <c r="M81" s="101" t="s">
        <v>3</v>
      </c>
      <c r="N81" s="203"/>
      <c r="O81" s="203"/>
      <c r="P81" s="203"/>
      <c r="Q81" s="203"/>
    </row>
    <row r="82" spans="1:17" s="204" customFormat="1" ht="21" customHeight="1">
      <c r="A82" s="203">
        <v>80</v>
      </c>
      <c r="B82" s="204" t="s">
        <v>262</v>
      </c>
      <c r="D82" s="203">
        <v>0</v>
      </c>
      <c r="E82" s="203">
        <v>0</v>
      </c>
      <c r="F82" s="204" t="s">
        <v>318</v>
      </c>
      <c r="G82" s="205">
        <v>10</v>
      </c>
      <c r="H82" s="205">
        <v>80</v>
      </c>
      <c r="I82" s="205">
        <f ca="1">RANDBETWEEN(1,24)</f>
        <v>24</v>
      </c>
      <c r="J82" s="204" t="str">
        <f ca="1">IF(RANDBETWEEN(1,100)&lt;=40,LOOKUP(I82,'Gem types'!$B$3:$B$26,'Gem types'!$C$3:$C$26),"none")</f>
        <v>none</v>
      </c>
      <c r="K82" s="101" t="str">
        <f>IF(I82=0,"",LOOKUP(I82,'Gem types'!$B$3:$B$55,'Gem types'!$D$3:$D$55))</f>
        <v>clear pale blue-green</v>
      </c>
      <c r="L82" s="101" t="str">
        <f>IF(I82=0,"",LOOKUP(I82,'Gem types'!$B$3:$B$55,'Gem types'!$F$3:$F$55))</f>
        <v>charms intelligent, water-dwelling creatures</v>
      </c>
      <c r="M82" s="101" t="s">
        <v>3</v>
      </c>
      <c r="N82" s="203"/>
      <c r="O82" s="203"/>
      <c r="P82" s="203"/>
      <c r="Q82" s="203"/>
    </row>
    <row r="83" spans="1:17" s="204" customFormat="1" ht="21" customHeight="1">
      <c r="A83" s="203">
        <v>81</v>
      </c>
      <c r="B83" s="204" t="s">
        <v>262</v>
      </c>
      <c r="D83" s="203">
        <v>0</v>
      </c>
      <c r="E83" s="203">
        <v>0</v>
      </c>
      <c r="F83" s="204" t="s">
        <v>319</v>
      </c>
      <c r="G83" s="205">
        <v>20</v>
      </c>
      <c r="H83" s="205">
        <v>120</v>
      </c>
      <c r="I83" s="205">
        <f ca="1">RANDBETWEEN(1,24)</f>
        <v>12</v>
      </c>
      <c r="J83" s="204" t="str">
        <f ca="1">IF(RANDBETWEEN(1,100)&lt;=40,LOOKUP(I83,'Gem types'!$B$3:$B$26,'Gem types'!$C$3:$C$26),"none")</f>
        <v>none</v>
      </c>
      <c r="K83" s="101" t="str">
        <f>IF(I83=0,"",LOOKUP(I83,'Gem types'!$B$3:$B$55,'Gem types'!$D$3:$D$55))</f>
        <v>light blue-green</v>
      </c>
      <c r="L83" s="101" t="str">
        <f>IF(I83=0,"",LOOKUP(I83,'Gem types'!$B$3:$B$55,'Gem types'!$F$3:$F$55))</f>
        <v>aids horses in all ways, but shatters upon use</v>
      </c>
      <c r="M83" s="101" t="s">
        <v>3</v>
      </c>
      <c r="N83" s="203"/>
      <c r="O83" s="203"/>
      <c r="P83" s="203"/>
      <c r="Q83" s="203"/>
    </row>
    <row r="84" spans="1:17" s="204" customFormat="1" ht="21" customHeight="1">
      <c r="A84" s="203">
        <v>82</v>
      </c>
      <c r="B84" s="204" t="s">
        <v>262</v>
      </c>
      <c r="D84" s="203">
        <v>0</v>
      </c>
      <c r="E84" s="203">
        <v>0</v>
      </c>
      <c r="F84" s="204" t="s">
        <v>319</v>
      </c>
      <c r="G84" s="205">
        <v>30</v>
      </c>
      <c r="H84" s="205">
        <v>180</v>
      </c>
      <c r="I84" s="205">
        <f ca="1">RANDBETWEEN(1,24)</f>
        <v>3</v>
      </c>
      <c r="J84" s="204" t="str">
        <f ca="1">IF(RANDBETWEEN(1,100)&lt;=40,LOOKUP(I84,'Gem types'!$B$3:$B$26,'Gem types'!$C$3:$C$26),"none")</f>
        <v>Blue Quartz</v>
      </c>
      <c r="K84" s="101" t="str">
        <f>IF(I84=0,"",LOOKUP(I84,'Gem types'!$B$3:$B$55,'Gem types'!$D$3:$D$55))</f>
        <v>pale blue</v>
      </c>
      <c r="L84" s="101" t="str">
        <f>IF(I84=0,"",LOOKUP(I84,'Gem types'!$B$3:$B$55,'Gem types'!$F$3:$F$55))</f>
        <v>controls bodies of salt water</v>
      </c>
      <c r="M84" s="101" t="s">
        <v>3</v>
      </c>
      <c r="N84" s="203"/>
      <c r="O84" s="203"/>
      <c r="P84" s="203"/>
      <c r="Q84" s="203"/>
    </row>
    <row r="85" spans="1:17" s="204" customFormat="1" ht="21" customHeight="1">
      <c r="A85" s="203">
        <v>83</v>
      </c>
      <c r="B85" s="204" t="s">
        <v>262</v>
      </c>
      <c r="D85" s="203">
        <v>0</v>
      </c>
      <c r="E85" s="203">
        <v>0</v>
      </c>
      <c r="F85" s="204" t="s">
        <v>320</v>
      </c>
      <c r="G85" s="205">
        <v>40</v>
      </c>
      <c r="H85" s="205">
        <v>240</v>
      </c>
      <c r="I85" s="205">
        <f ca="1">RANDBETWEEN(13,39)</f>
        <v>38</v>
      </c>
      <c r="J85" s="204" t="str">
        <f ca="1">IF(RANDBETWEEN(1,100)&lt;=80,LOOKUP(I85,'Gem types'!$B$15:$B$41,'Gem types'!$C$15:$C$41),"none")</f>
        <v>Topaz</v>
      </c>
      <c r="K85" s="101" t="str">
        <f>IF(I85=0,"",LOOKUP(I85,'Gem types'!$B$3:$B$55,'Gem types'!$D$3:$D$55))</f>
        <v>golden yellow</v>
      </c>
      <c r="L85" s="101" t="str">
        <f>IF(I85=0,"",LOOKUP(I85,'Gem types'!$B$3:$B$55,'Gem types'!$F$3:$F$55))</f>
        <v>wards off evil spells</v>
      </c>
      <c r="M85" s="101" t="s">
        <v>3</v>
      </c>
      <c r="N85" s="203"/>
      <c r="O85" s="203"/>
      <c r="P85" s="203"/>
      <c r="Q85" s="203"/>
    </row>
    <row r="86" spans="1:17" s="204" customFormat="1" ht="21" customHeight="1">
      <c r="A86" s="203">
        <v>84</v>
      </c>
      <c r="B86" s="204" t="s">
        <v>281</v>
      </c>
      <c r="D86" s="203">
        <v>10</v>
      </c>
      <c r="E86" s="203">
        <v>40</v>
      </c>
      <c r="F86" s="204" t="s">
        <v>317</v>
      </c>
      <c r="G86" s="205">
        <v>40</v>
      </c>
      <c r="H86" s="205">
        <v>240</v>
      </c>
      <c r="I86" s="205">
        <f ca="1">RANDBETWEEN(13,39)</f>
        <v>22</v>
      </c>
      <c r="J86" s="204" t="str">
        <f ca="1">IF(RANDBETWEEN(1,100)&lt;=80,LOOKUP(I86,'Gem types'!$B$15:$B$41,'Gem types'!$C$15:$C$41),"none")</f>
        <v>none</v>
      </c>
      <c r="K86" s="101" t="str">
        <f>IF(I86=0,"",LOOKUP(I86,'Gem types'!$B$3:$B$55,'Gem types'!$D$3:$D$55))</f>
        <v>gray, yellow, or blue (cairngorm), all light</v>
      </c>
      <c r="L86" s="101" t="str">
        <f>IF(I86=0,"",LOOKUP(I86,'Gem types'!$B$3:$B$55,'Gem types'!$F$3:$F$55))</f>
        <v>protection from poison</v>
      </c>
      <c r="M86" s="101" t="s">
        <v>4</v>
      </c>
      <c r="N86" s="203"/>
      <c r="O86" s="203"/>
      <c r="P86" s="203"/>
      <c r="Q86" s="203"/>
    </row>
    <row r="87" spans="1:17" s="204" customFormat="1" ht="21" customHeight="1">
      <c r="A87" s="203">
        <v>85</v>
      </c>
      <c r="B87" s="204" t="s">
        <v>281</v>
      </c>
      <c r="D87" s="203">
        <v>10</v>
      </c>
      <c r="E87" s="203">
        <v>40</v>
      </c>
      <c r="F87" s="204" t="s">
        <v>318</v>
      </c>
      <c r="G87" s="205">
        <v>50</v>
      </c>
      <c r="H87" s="205">
        <v>400</v>
      </c>
      <c r="I87" s="205">
        <f ca="1">RANDBETWEEN(13,39)</f>
        <v>39</v>
      </c>
      <c r="J87" s="204" t="str">
        <f ca="1">IF(RANDBETWEEN(1,100)&lt;=80,LOOKUP(I87,'Gem types'!$B$15:$B$41,'Gem types'!$C$15:$C$41),"none")</f>
        <v>Tourmaline</v>
      </c>
      <c r="K87" s="101" t="str">
        <f>IF(I87=0,"",LOOKUP(I87,'Gem types'!$B$3:$B$55,'Gem types'!$D$3:$D$55))</f>
        <v>green pale, blue pale, brown pale, or reddish pale</v>
      </c>
      <c r="L87" s="101" t="str">
        <f>IF(I87=0,"",LOOKUP(I87,'Gem types'!$B$3:$B$55,'Gem types'!$F$3:$F$55))</f>
        <v>speeds overland travel</v>
      </c>
      <c r="M87" s="101" t="s">
        <v>4</v>
      </c>
      <c r="N87" s="203"/>
      <c r="O87" s="203"/>
      <c r="P87" s="203"/>
      <c r="Q87" s="203"/>
    </row>
    <row r="88" spans="1:17" s="204" customFormat="1" ht="21" customHeight="1">
      <c r="A88" s="203">
        <v>86</v>
      </c>
      <c r="B88" s="204" t="s">
        <v>281</v>
      </c>
      <c r="D88" s="203">
        <v>10</v>
      </c>
      <c r="E88" s="203">
        <v>40</v>
      </c>
      <c r="F88" s="204" t="s">
        <v>319</v>
      </c>
      <c r="G88" s="205">
        <v>80</v>
      </c>
      <c r="H88" s="205">
        <v>500</v>
      </c>
      <c r="I88" s="205">
        <f ca="1">RANDBETWEEN(13,39)</f>
        <v>34</v>
      </c>
      <c r="J88" s="204" t="str">
        <f ca="1">IF(RANDBETWEEN(1,100)&lt;=80,LOOKUP(I88,'Gem types'!$B$15:$B$41,'Gem types'!$C$15:$C$41),"none")</f>
        <v>Jet</v>
      </c>
      <c r="K88" s="101" t="str">
        <f>IF(I88=0,"",LOOKUP(I88,'Gem types'!$B$3:$B$55,'Gem types'!$D$3:$D$55))</f>
        <v>deep black</v>
      </c>
      <c r="L88" s="101" t="str">
        <f>IF(I88=0,"",LOOKUP(I88,'Gem types'!$B$3:$B$55,'Gem types'!$F$3:$F$55))</f>
        <v>soul object material</v>
      </c>
      <c r="M88" s="101" t="s">
        <v>4</v>
      </c>
      <c r="N88" s="203"/>
      <c r="O88" s="203"/>
      <c r="P88" s="203"/>
      <c r="Q88" s="203"/>
    </row>
    <row r="89" spans="1:17" s="204" customFormat="1" ht="21" customHeight="1">
      <c r="A89" s="203">
        <v>87</v>
      </c>
      <c r="B89" s="204" t="s">
        <v>334</v>
      </c>
      <c r="D89" s="203">
        <v>20</v>
      </c>
      <c r="E89" s="203">
        <v>80</v>
      </c>
      <c r="F89" s="204" t="s">
        <v>320</v>
      </c>
      <c r="G89" s="205">
        <v>500</v>
      </c>
      <c r="H89" s="205">
        <v>5000</v>
      </c>
      <c r="I89" s="205">
        <f ca="1">RANDBETWEEN(25,53)</f>
        <v>47</v>
      </c>
      <c r="J89" s="204" t="str">
        <f>LOOKUP(I89,'Gem types'!$B$27:$B$55,'Gem types'!$C$27:$C$55)</f>
        <v>Oriental (elven) Amethyst</v>
      </c>
      <c r="K89" s="101" t="str">
        <f>IF(I89=0,"",LOOKUP(I89,'Gem types'!$B$3:$B$55,'Gem types'!$D$3:$D$55))</f>
        <v>rich purple</v>
      </c>
      <c r="L89" s="101" t="str">
        <f>IF(I89=0,"",LOOKUP(I89,'Gem types'!$B$3:$B$55,'Gem types'!$F$3:$F$55))</f>
        <v>influences humans and humanoids, increases charisma</v>
      </c>
      <c r="M89" s="101" t="s">
        <v>4</v>
      </c>
      <c r="N89" s="203"/>
      <c r="O89" s="203"/>
      <c r="P89" s="203"/>
      <c r="Q89" s="203"/>
    </row>
    <row r="90" spans="1:17" s="204" customFormat="1" ht="21" customHeight="1">
      <c r="A90" s="203">
        <v>88</v>
      </c>
      <c r="B90" s="204" t="s">
        <v>282</v>
      </c>
      <c r="D90" s="203">
        <v>0</v>
      </c>
      <c r="E90" s="203">
        <v>0</v>
      </c>
      <c r="F90" s="204" t="s">
        <v>321</v>
      </c>
      <c r="G90" s="205">
        <v>4</v>
      </c>
      <c r="H90" s="205">
        <v>40</v>
      </c>
      <c r="I90" s="205">
        <f ca="1">RANDBETWEEN(1,24)</f>
        <v>17</v>
      </c>
      <c r="J90" s="204" t="str">
        <f ca="1">IF(RANDBETWEEN(1,100)&lt;=40,LOOKUP(I90,'Gem types'!$B$3:$B$26,'Gem types'!$C$3:$C$26),"none")</f>
        <v>Jasper</v>
      </c>
      <c r="K90" s="101" t="str">
        <f>IF(I90=0,"",LOOKUP(I90,'Gem types'!$B$3:$B$55,'Gem types'!$D$3:$D$55))</f>
        <v>blue, black to brown</v>
      </c>
      <c r="L90" s="101" t="str">
        <f>IF(I90=0,"",LOOKUP(I90,'Gem types'!$B$3:$B$55,'Gem types'!$F$3:$F$55))</f>
        <v>protection from venom</v>
      </c>
      <c r="M90" s="101" t="s">
        <v>5</v>
      </c>
      <c r="N90" s="203"/>
      <c r="O90" s="203"/>
      <c r="P90" s="203"/>
      <c r="Q90" s="203"/>
    </row>
    <row r="91" spans="1:17" s="204" customFormat="1" ht="21" customHeight="1">
      <c r="A91" s="203">
        <v>89</v>
      </c>
      <c r="B91" s="204" t="s">
        <v>282</v>
      </c>
      <c r="D91" s="203">
        <v>0</v>
      </c>
      <c r="E91" s="203">
        <v>0</v>
      </c>
      <c r="F91" s="204" t="s">
        <v>316</v>
      </c>
      <c r="G91" s="205">
        <v>10</v>
      </c>
      <c r="H91" s="205">
        <v>60</v>
      </c>
      <c r="I91" s="205">
        <f ca="1">RANDBETWEEN(1,24)</f>
        <v>7</v>
      </c>
      <c r="J91" s="204" t="str">
        <f ca="1">IF(RANDBETWEEN(1,100)&lt;=40,LOOKUP(I91,'Gem types'!$B$3:$B$26,'Gem types'!$C$3:$C$26),"none")</f>
        <v>none</v>
      </c>
      <c r="K91" s="101" t="str">
        <f>IF(I91=0,"",LOOKUP(I91,'Gem types'!$B$3:$B$55,'Gem types'!$D$3:$D$55))</f>
        <v>striated light and dark green</v>
      </c>
      <c r="L91" s="101" t="str">
        <f>IF(I91=0,"",LOOKUP(I91,'Gem types'!$B$3:$B$55,'Gem types'!$F$3:$F$55))</f>
        <v>protection from falling</v>
      </c>
      <c r="M91" s="101" t="s">
        <v>5</v>
      </c>
      <c r="N91" s="203"/>
      <c r="O91" s="203"/>
      <c r="P91" s="203"/>
      <c r="Q91" s="203"/>
    </row>
    <row r="92" spans="1:17" s="204" customFormat="1" ht="21" customHeight="1">
      <c r="A92" s="203">
        <v>90</v>
      </c>
      <c r="B92" s="204" t="s">
        <v>282</v>
      </c>
      <c r="D92" s="203">
        <v>0</v>
      </c>
      <c r="E92" s="203">
        <v>0</v>
      </c>
      <c r="F92" s="204" t="s">
        <v>317</v>
      </c>
      <c r="G92" s="205">
        <v>10</v>
      </c>
      <c r="H92" s="205">
        <v>80</v>
      </c>
      <c r="I92" s="205">
        <f ca="1">RANDBETWEEN(1,24)</f>
        <v>3</v>
      </c>
      <c r="J92" s="204" t="str">
        <f ca="1">IF(RANDBETWEEN(1,100)&lt;=40,LOOKUP(I92,'Gem types'!$B$3:$B$26,'Gem types'!$C$3:$C$26),"none")</f>
        <v>none</v>
      </c>
      <c r="K92" s="101" t="str">
        <f>IF(I92=0,"",LOOKUP(I92,'Gem types'!$B$3:$B$55,'Gem types'!$D$3:$D$55))</f>
        <v>pale blue</v>
      </c>
      <c r="L92" s="101" t="str">
        <f>IF(I92=0,"",LOOKUP(I92,'Gem types'!$B$3:$B$55,'Gem types'!$F$3:$F$55))</f>
        <v>controls bodies of salt water</v>
      </c>
      <c r="M92" s="101" t="s">
        <v>5</v>
      </c>
      <c r="N92" s="203"/>
      <c r="O92" s="203"/>
      <c r="P92" s="203"/>
      <c r="Q92" s="203"/>
    </row>
    <row r="93" spans="1:17" s="204" customFormat="1" ht="21" customHeight="1">
      <c r="A93" s="203">
        <v>91</v>
      </c>
      <c r="B93" s="204" t="s">
        <v>282</v>
      </c>
      <c r="D93" s="203">
        <v>0</v>
      </c>
      <c r="E93" s="203">
        <v>0</v>
      </c>
      <c r="F93" s="204" t="s">
        <v>318</v>
      </c>
      <c r="G93" s="205">
        <v>20</v>
      </c>
      <c r="H93" s="205">
        <v>120</v>
      </c>
      <c r="I93" s="205">
        <f ca="1">RANDBETWEEN(1,24)</f>
        <v>20</v>
      </c>
      <c r="J93" s="204" t="str">
        <f ca="1">IF(RANDBETWEEN(1,100)&lt;=40,LOOKUP(I93,'Gem types'!$B$3:$B$26,'Gem types'!$C$3:$C$26),"none")</f>
        <v>Rock Crystal</v>
      </c>
      <c r="K93" s="101" t="str">
        <f>IF(I93=0,"",LOOKUP(I93,'Gem types'!$B$3:$B$55,'Gem types'!$D$3:$D$55))</f>
        <v>clear</v>
      </c>
      <c r="L93" s="101" t="str">
        <f>IF(I93=0,"",LOOKUP(I93,'Gem types'!$B$3:$B$55,'Gem types'!$F$3:$F$55))</f>
        <v>aids magic-users and illusionists</v>
      </c>
      <c r="M93" s="101" t="s">
        <v>5</v>
      </c>
      <c r="N93" s="203"/>
      <c r="O93" s="203"/>
      <c r="P93" s="203"/>
      <c r="Q93" s="203"/>
    </row>
    <row r="94" spans="1:17" s="204" customFormat="1" ht="21" customHeight="1">
      <c r="A94" s="203">
        <v>92</v>
      </c>
      <c r="B94" s="204" t="s">
        <v>282</v>
      </c>
      <c r="D94" s="203">
        <v>0</v>
      </c>
      <c r="E94" s="203">
        <v>0</v>
      </c>
      <c r="F94" s="204" t="s">
        <v>319</v>
      </c>
      <c r="G94" s="205">
        <v>30</v>
      </c>
      <c r="H94" s="205">
        <v>180</v>
      </c>
      <c r="I94" s="205">
        <f ca="1">RANDBETWEEN(1,24)</f>
        <v>11</v>
      </c>
      <c r="J94" s="204" t="str">
        <f ca="1">IF(RANDBETWEEN(1,100)&lt;=40,LOOKUP(I94,'Gem types'!$B$3:$B$26,'Gem types'!$C$3:$C$26),"none")</f>
        <v>none</v>
      </c>
      <c r="K94" s="101" t="str">
        <f>IF(I94=0,"",LOOKUP(I94,'Gem types'!$B$3:$B$55,'Gem types'!$D$3:$D$55))</f>
        <v>rich brown with golden center under-hue</v>
      </c>
      <c r="L94" s="101" t="str">
        <f>IF(I94=0,"",LOOKUP(I94,'Gem types'!$B$3:$B$55,'Gem types'!$F$3:$F$55))</f>
        <v>protection against large cats (tigers, lions, panthers, etc.)</v>
      </c>
      <c r="M94" s="101" t="s">
        <v>5</v>
      </c>
      <c r="N94" s="203"/>
      <c r="O94" s="203"/>
      <c r="P94" s="203"/>
      <c r="Q94" s="203"/>
    </row>
    <row r="95" spans="1:17" s="204" customFormat="1" ht="21" customHeight="1">
      <c r="A95" s="203">
        <v>93</v>
      </c>
      <c r="B95" s="204" t="s">
        <v>283</v>
      </c>
      <c r="D95" s="203">
        <v>3</v>
      </c>
      <c r="E95" s="203">
        <v>9</v>
      </c>
      <c r="F95" s="204" t="s">
        <v>317</v>
      </c>
      <c r="G95" s="205">
        <v>40</v>
      </c>
      <c r="H95" s="205">
        <v>240</v>
      </c>
      <c r="I95" s="205">
        <f ca="1">RANDBETWEEN(13,39)</f>
        <v>27</v>
      </c>
      <c r="J95" s="204" t="str">
        <f ca="1">IF(RANDBETWEEN(1,100)&lt;=80,LOOKUP(I95,'Gem types'!$B$15:$B$41,'Gem types'!$C$15:$C$41),"none")</f>
        <v>Amethyst</v>
      </c>
      <c r="K95" s="101" t="str">
        <f>IF(I95=0,"",LOOKUP(I95,'Gem types'!$B$3:$B$55,'Gem types'!$D$3:$D$55))</f>
        <v>deep purple</v>
      </c>
      <c r="L95" s="101" t="str">
        <f>IF(I95=0,"",LOOKUP(I95,'Gem types'!$B$3:$B$55,'Gem types'!$F$3:$F$55))</f>
        <v>prevents drunkeness or drugging</v>
      </c>
      <c r="M95" s="101" t="s">
        <v>5</v>
      </c>
      <c r="N95" s="203"/>
      <c r="O95" s="203"/>
      <c r="P95" s="203"/>
      <c r="Q95" s="203"/>
    </row>
    <row r="96" spans="1:17" s="204" customFormat="1" ht="21" customHeight="1">
      <c r="A96" s="203">
        <v>94</v>
      </c>
      <c r="B96" s="204" t="s">
        <v>283</v>
      </c>
      <c r="D96" s="203">
        <v>3</v>
      </c>
      <c r="E96" s="203">
        <v>9</v>
      </c>
      <c r="F96" s="204" t="s">
        <v>318</v>
      </c>
      <c r="G96" s="205">
        <v>50</v>
      </c>
      <c r="H96" s="205">
        <v>400</v>
      </c>
      <c r="I96" s="205">
        <f ca="1">RANDBETWEEN(13,39)</f>
        <v>26</v>
      </c>
      <c r="J96" s="204" t="str">
        <f ca="1">IF(RANDBETWEEN(1,100)&lt;=80,LOOKUP(I96,'Gem types'!$B$15:$B$41,'Gem types'!$C$15:$C$41),"none")</f>
        <v>Alexandrite</v>
      </c>
      <c r="K96" s="101" t="str">
        <f>IF(I96=0,"",LOOKUP(I96,'Gem types'!$B$3:$B$55,'Gem types'!$D$3:$D$55))</f>
        <v>dark green</v>
      </c>
      <c r="L96" s="101" t="str">
        <f>IF(I96=0,"",LOOKUP(I96,'Gem types'!$B$3:$B$55,'Gem types'!$F$3:$F$55))</f>
        <v>good omens</v>
      </c>
      <c r="M96" s="101" t="s">
        <v>5</v>
      </c>
      <c r="N96" s="203"/>
      <c r="O96" s="203"/>
      <c r="P96" s="203"/>
      <c r="Q96" s="203"/>
    </row>
    <row r="97" spans="1:17" s="204" customFormat="1" ht="21" customHeight="1">
      <c r="A97" s="203">
        <v>95</v>
      </c>
      <c r="B97" s="204" t="s">
        <v>283</v>
      </c>
      <c r="D97" s="203">
        <v>3</v>
      </c>
      <c r="E97" s="203">
        <v>9</v>
      </c>
      <c r="F97" s="204" t="s">
        <v>319</v>
      </c>
      <c r="G97" s="205">
        <v>80</v>
      </c>
      <c r="H97" s="205">
        <v>500</v>
      </c>
      <c r="I97" s="205">
        <f ca="1">RANDBETWEEN(13,39)</f>
        <v>21</v>
      </c>
      <c r="J97" s="204" t="str">
        <f ca="1">IF(RANDBETWEEN(1,100)&lt;=80,LOOKUP(I97,'Gem types'!$B$15:$B$41,'Gem types'!$C$15:$C$41),"none")</f>
        <v>Sardonyx</v>
      </c>
      <c r="K97" s="101" t="str">
        <f>IF(I97=0,"",LOOKUP(I97,'Gem types'!$B$3:$B$55,'Gem types'!$D$3:$D$55))</f>
        <v>bands of red and white onyx</v>
      </c>
      <c r="L97" s="101" t="str">
        <f>IF(I97=0,"",LOOKUP(I97,'Gem types'!$B$3:$B$55,'Gem types'!$F$3:$F$55))</f>
        <v>aids clerics and paladins, increases effectiveness of healing spells</v>
      </c>
      <c r="M97" s="101" t="s">
        <v>5</v>
      </c>
      <c r="N97" s="203"/>
      <c r="O97" s="203"/>
      <c r="P97" s="203"/>
      <c r="Q97" s="203"/>
    </row>
    <row r="98" spans="1:17" s="204" customFormat="1" ht="21" customHeight="1">
      <c r="A98" s="203">
        <v>96</v>
      </c>
      <c r="B98" s="204" t="s">
        <v>284</v>
      </c>
      <c r="D98" s="203">
        <v>0</v>
      </c>
      <c r="E98" s="203">
        <v>0</v>
      </c>
      <c r="F98" s="204" t="s">
        <v>321</v>
      </c>
      <c r="G98" s="205">
        <v>4</v>
      </c>
      <c r="H98" s="205">
        <v>40</v>
      </c>
      <c r="I98" s="205">
        <f ca="1">RANDBETWEEN(1,24)</f>
        <v>22</v>
      </c>
      <c r="J98" s="204" t="str">
        <f ca="1">IF(RANDBETWEEN(1,100)&lt;=40,LOOKUP(I98,'Gem types'!$B$3:$B$26,'Gem types'!$C$3:$C$26),"none")</f>
        <v>Smoky Quartz</v>
      </c>
      <c r="K98" s="101" t="str">
        <f>IF(I98=0,"",LOOKUP(I98,'Gem types'!$B$3:$B$55,'Gem types'!$D$3:$D$55))</f>
        <v>gray, yellow, or blue (cairngorm), all light</v>
      </c>
      <c r="L98" s="101" t="str">
        <f>IF(I98=0,"",LOOKUP(I98,'Gem types'!$B$3:$B$55,'Gem types'!$F$3:$F$55))</f>
        <v>protection from poison</v>
      </c>
      <c r="M98" s="101" t="s">
        <v>18</v>
      </c>
      <c r="N98" s="203"/>
      <c r="O98" s="203"/>
      <c r="P98" s="203"/>
      <c r="Q98" s="203"/>
    </row>
    <row r="99" spans="1:17" s="204" customFormat="1" ht="21" customHeight="1">
      <c r="A99" s="203">
        <v>97</v>
      </c>
      <c r="B99" s="204" t="s">
        <v>284</v>
      </c>
      <c r="D99" s="203">
        <v>0</v>
      </c>
      <c r="E99" s="203">
        <v>0</v>
      </c>
      <c r="F99" s="204" t="s">
        <v>316</v>
      </c>
      <c r="G99" s="205">
        <v>10</v>
      </c>
      <c r="H99" s="205">
        <v>60</v>
      </c>
      <c r="I99" s="205">
        <f ca="1">RANDBETWEEN(1,24)</f>
        <v>15</v>
      </c>
      <c r="J99" s="204" t="str">
        <f ca="1">IF(RANDBETWEEN(1,100)&lt;=40,LOOKUP(I99,'Gem types'!$B$3:$B$26,'Gem types'!$C$3:$C$26),"none")</f>
        <v>Chalcedony</v>
      </c>
      <c r="K99" s="101" t="str">
        <f>IF(I99=0,"",LOOKUP(I99,'Gem types'!$B$3:$B$55,'Gem types'!$D$3:$D$55))</f>
        <v>white</v>
      </c>
      <c r="L99" s="101" t="str">
        <f>IF(I99=0,"",LOOKUP(I99,'Gem types'!$B$3:$B$55,'Gem types'!$F$3:$F$55))</f>
        <v>wards off undead</v>
      </c>
      <c r="M99" s="101" t="s">
        <v>18</v>
      </c>
      <c r="N99" s="203"/>
      <c r="O99" s="203"/>
      <c r="P99" s="203"/>
      <c r="Q99" s="203"/>
    </row>
    <row r="100" spans="1:17" s="204" customFormat="1" ht="21" customHeight="1">
      <c r="A100" s="203">
        <v>98</v>
      </c>
      <c r="B100" s="204" t="s">
        <v>284</v>
      </c>
      <c r="D100" s="203">
        <v>0</v>
      </c>
      <c r="E100" s="203">
        <v>0</v>
      </c>
      <c r="F100" s="204" t="s">
        <v>317</v>
      </c>
      <c r="G100" s="205">
        <v>10</v>
      </c>
      <c r="H100" s="205">
        <v>80</v>
      </c>
      <c r="I100" s="205">
        <f ca="1">RANDBETWEEN(1,24)</f>
        <v>16</v>
      </c>
      <c r="J100" s="204" t="str">
        <f ca="1">IF(RANDBETWEEN(1,100)&lt;=40,LOOKUP(I100,'Gem types'!$B$3:$B$26,'Gem types'!$C$3:$C$26),"none")</f>
        <v>none</v>
      </c>
      <c r="K100" s="101" t="str">
        <f>IF(I100=0,"",LOOKUP(I100,'Gem types'!$B$3:$B$55,'Gem types'!$D$3:$D$55))</f>
        <v>pale yellow brown</v>
      </c>
      <c r="L100" s="101" t="str">
        <f>IF(I100=0,"",LOOKUP(I100,'Gem types'!$B$3:$B$55,'Gem types'!$F$3:$F$55))</f>
        <v>induces severe flatulance</v>
      </c>
      <c r="M100" s="101" t="s">
        <v>18</v>
      </c>
      <c r="N100" s="203"/>
      <c r="O100" s="203"/>
      <c r="P100" s="203"/>
      <c r="Q100" s="203"/>
    </row>
    <row r="101" spans="1:17" s="204" customFormat="1" ht="21" customHeight="1">
      <c r="A101" s="203">
        <v>99</v>
      </c>
      <c r="B101" s="204" t="s">
        <v>284</v>
      </c>
      <c r="D101" s="203">
        <v>0</v>
      </c>
      <c r="E101" s="203">
        <v>0</v>
      </c>
      <c r="F101" s="204" t="s">
        <v>318</v>
      </c>
      <c r="G101" s="205">
        <v>20</v>
      </c>
      <c r="H101" s="205">
        <v>120</v>
      </c>
      <c r="I101" s="205">
        <f ca="1">RANDBETWEEN(1,24)</f>
        <v>7</v>
      </c>
      <c r="J101" s="204" t="str">
        <f ca="1">IF(RANDBETWEEN(1,100)&lt;=40,LOOKUP(I101,'Gem types'!$B$3:$B$26,'Gem types'!$C$3:$C$26),"none")</f>
        <v>Malachite</v>
      </c>
      <c r="K101" s="101" t="str">
        <f>IF(I101=0,"",LOOKUP(I101,'Gem types'!$B$3:$B$55,'Gem types'!$D$3:$D$55))</f>
        <v>striated light and dark green</v>
      </c>
      <c r="L101" s="101" t="str">
        <f>IF(I101=0,"",LOOKUP(I101,'Gem types'!$B$3:$B$55,'Gem types'!$F$3:$F$55))</f>
        <v>protection from falling</v>
      </c>
      <c r="M101" s="101" t="s">
        <v>18</v>
      </c>
      <c r="N101" s="203"/>
      <c r="O101" s="203"/>
      <c r="P101" s="203"/>
      <c r="Q101" s="203"/>
    </row>
    <row r="102" spans="1:17" s="204" customFormat="1" ht="21" customHeight="1">
      <c r="A102" s="203">
        <v>100</v>
      </c>
      <c r="B102" s="204" t="s">
        <v>284</v>
      </c>
      <c r="D102" s="203">
        <v>0</v>
      </c>
      <c r="E102" s="203">
        <v>0</v>
      </c>
      <c r="F102" s="204" t="s">
        <v>319</v>
      </c>
      <c r="G102" s="205">
        <v>30</v>
      </c>
      <c r="H102" s="205">
        <v>180</v>
      </c>
      <c r="I102" s="205">
        <f ca="1">RANDBETWEEN(1,24)</f>
        <v>20</v>
      </c>
      <c r="J102" s="204" t="str">
        <f ca="1">IF(RANDBETWEEN(1,100)&lt;=40,LOOKUP(I102,'Gem types'!$B$3:$B$26,'Gem types'!$C$3:$C$26),"none")</f>
        <v>none</v>
      </c>
      <c r="K102" s="101" t="str">
        <f>IF(I102=0,"",LOOKUP(I102,'Gem types'!$B$3:$B$55,'Gem types'!$D$3:$D$55))</f>
        <v>clear</v>
      </c>
      <c r="L102" s="101" t="str">
        <f>IF(I102=0,"",LOOKUP(I102,'Gem types'!$B$3:$B$55,'Gem types'!$F$3:$F$55))</f>
        <v>aids magic-users and illusionists</v>
      </c>
      <c r="M102" s="101" t="s">
        <v>18</v>
      </c>
      <c r="N102" s="203"/>
      <c r="O102" s="203"/>
      <c r="P102" s="203"/>
      <c r="Q102" s="203"/>
    </row>
    <row r="103" spans="1:17" s="204" customFormat="1" ht="21" customHeight="1">
      <c r="A103" s="203">
        <v>101</v>
      </c>
      <c r="B103" s="204" t="s">
        <v>285</v>
      </c>
      <c r="D103" s="203">
        <v>1</v>
      </c>
      <c r="E103" s="203">
        <v>6</v>
      </c>
      <c r="F103" s="204" t="s">
        <v>317</v>
      </c>
      <c r="G103" s="205">
        <v>40</v>
      </c>
      <c r="H103" s="205">
        <v>240</v>
      </c>
      <c r="I103" s="205">
        <f ca="1">RANDBETWEEN(13,39)</f>
        <v>24</v>
      </c>
      <c r="J103" s="204" t="str">
        <f ca="1">IF(RANDBETWEEN(1,100)&lt;=80,LOOKUP(I103,'Gem types'!$B$15:$B$41,'Gem types'!$C$15:$C$41),"none")</f>
        <v>none</v>
      </c>
      <c r="K103" s="101" t="str">
        <f>IF(I103=0,"",LOOKUP(I103,'Gem types'!$B$3:$B$55,'Gem types'!$D$3:$D$55))</f>
        <v>clear pale blue-green</v>
      </c>
      <c r="L103" s="101" t="str">
        <f>IF(I103=0,"",LOOKUP(I103,'Gem types'!$B$3:$B$55,'Gem types'!$F$3:$F$55))</f>
        <v>charms intelligent, water-dwelling creatures</v>
      </c>
      <c r="M103" s="101" t="s">
        <v>18</v>
      </c>
      <c r="N103" s="203"/>
      <c r="O103" s="203"/>
      <c r="P103" s="203"/>
      <c r="Q103" s="203"/>
    </row>
    <row r="104" spans="1:17" s="204" customFormat="1" ht="21" customHeight="1">
      <c r="A104" s="203">
        <v>102</v>
      </c>
      <c r="B104" s="204" t="s">
        <v>285</v>
      </c>
      <c r="D104" s="203">
        <v>1</v>
      </c>
      <c r="E104" s="203">
        <v>6</v>
      </c>
      <c r="F104" s="204" t="s">
        <v>318</v>
      </c>
      <c r="G104" s="205">
        <v>50</v>
      </c>
      <c r="H104" s="205">
        <v>400</v>
      </c>
      <c r="I104" s="205">
        <f ca="1">RANDBETWEEN(13,39)</f>
        <v>23</v>
      </c>
      <c r="J104" s="204" t="str">
        <f ca="1">IF(RANDBETWEEN(1,100)&lt;=80,LOOKUP(I104,'Gem types'!$B$15:$B$41,'Gem types'!$C$15:$C$41),"none")</f>
        <v>none</v>
      </c>
      <c r="K104" s="101" t="str">
        <f>IF(I104=0,"",LOOKUP(I104,'Gem types'!$B$3:$B$55,'Gem types'!$D$3:$D$55))</f>
        <v>translucent rosy stone with white "star" center</v>
      </c>
      <c r="L104" s="101" t="str">
        <f>IF(I104=0,"",LOOKUP(I104,'Gem types'!$B$3:$B$55,'Gem types'!$F$3:$F$55))</f>
        <v>induces love and passion</v>
      </c>
      <c r="M104" s="101" t="s">
        <v>18</v>
      </c>
      <c r="N104" s="203"/>
      <c r="O104" s="203"/>
      <c r="P104" s="203"/>
      <c r="Q104" s="203"/>
    </row>
    <row r="105" spans="1:17" s="204" customFormat="1" ht="21" customHeight="1">
      <c r="A105" s="203">
        <v>103</v>
      </c>
      <c r="B105" s="204" t="s">
        <v>285</v>
      </c>
      <c r="D105" s="203">
        <v>1</v>
      </c>
      <c r="E105" s="203">
        <v>6</v>
      </c>
      <c r="F105" s="204" t="s">
        <v>319</v>
      </c>
      <c r="G105" s="205">
        <v>80</v>
      </c>
      <c r="H105" s="205">
        <v>500</v>
      </c>
      <c r="I105" s="205">
        <f ca="1">RANDBETWEEN(13,39)</f>
        <v>18</v>
      </c>
      <c r="J105" s="204" t="str">
        <f ca="1">IF(RANDBETWEEN(1,100)&lt;=80,LOOKUP(I105,'Gem types'!$B$15:$B$41,'Gem types'!$C$15:$C$41),"none")</f>
        <v>Moonstone</v>
      </c>
      <c r="K105" s="101" t="str">
        <f>IF(I105=0,"",LOOKUP(I105,'Gem types'!$B$3:$B$55,'Gem types'!$D$3:$D$55))</f>
        <v>white with pale blue glow</v>
      </c>
      <c r="L105" s="101" t="str">
        <f>IF(I105=0,"",LOOKUP(I105,'Gem types'!$B$3:$B$55,'Gem types'!$F$3:$F$55))</f>
        <v>causes lycanthropy</v>
      </c>
      <c r="M105" s="101" t="s">
        <v>18</v>
      </c>
      <c r="N105" s="203"/>
      <c r="O105" s="203"/>
      <c r="P105" s="203"/>
      <c r="Q105" s="203"/>
    </row>
    <row r="106" spans="1:17" s="204" customFormat="1" ht="21" customHeight="1">
      <c r="A106" s="203">
        <v>104</v>
      </c>
      <c r="B106" s="204" t="s">
        <v>286</v>
      </c>
      <c r="D106" s="203">
        <v>3</v>
      </c>
      <c r="E106" s="203">
        <v>12</v>
      </c>
      <c r="F106" s="204" t="s">
        <v>320</v>
      </c>
      <c r="G106" s="205">
        <v>400</v>
      </c>
      <c r="H106" s="205">
        <v>4000</v>
      </c>
      <c r="I106" s="205">
        <f ca="1">RANDBETWEEN(25,53)</f>
        <v>41</v>
      </c>
      <c r="J106" s="204" t="str">
        <f>LOOKUP(I106,'Gem types'!$B$27:$B$55,'Gem types'!$C$27:$C$55)</f>
        <v>Black Sapphire</v>
      </c>
      <c r="K106" s="101" t="str">
        <f>IF(I106=0,"",LOOKUP(I106,'Gem types'!$B$3:$B$55,'Gem types'!$D$3:$D$55))</f>
        <v>lustrous black with glowing highlights</v>
      </c>
      <c r="L106" s="101" t="str">
        <f>IF(I106=0,"",LOOKUP(I106,'Gem types'!$B$3:$B$55,'Gem types'!$F$3:$F$55))</f>
        <v>aids assassins, wards against demonic possession</v>
      </c>
      <c r="M106" s="101" t="s">
        <v>18</v>
      </c>
      <c r="N106" s="203"/>
      <c r="O106" s="203"/>
      <c r="P106" s="203"/>
      <c r="Q106" s="203"/>
    </row>
    <row r="107" spans="1:17" s="204" customFormat="1" ht="21" customHeight="1">
      <c r="A107" s="203">
        <v>105</v>
      </c>
      <c r="B107" s="204" t="s">
        <v>289</v>
      </c>
      <c r="D107" s="203">
        <v>1</v>
      </c>
      <c r="E107" s="203">
        <v>4</v>
      </c>
      <c r="F107" s="204" t="s">
        <v>321</v>
      </c>
      <c r="G107" s="205">
        <v>4</v>
      </c>
      <c r="H107" s="205">
        <v>40</v>
      </c>
      <c r="I107" s="205">
        <f ca="1">RANDBETWEEN(1,24)</f>
        <v>10</v>
      </c>
      <c r="J107" s="204" t="str">
        <f ca="1">IF(RANDBETWEEN(1,100)&lt;=40,LOOKUP(I107,'Gem types'!$B$3:$B$26,'Gem types'!$C$3:$C$26),"none")</f>
        <v>Rhodochrosite</v>
      </c>
      <c r="K107" s="101" t="str">
        <f>IF(I107=0,"",LOOKUP(I107,'Gem types'!$B$3:$B$55,'Gem types'!$D$3:$D$55))</f>
        <v>light pink</v>
      </c>
      <c r="L107" s="101" t="str">
        <f>IF(I107=0,"",LOOKUP(I107,'Gem types'!$B$3:$B$55,'Gem types'!$F$3:$F$55))</f>
        <v>ensures healthy pregnancy, and eases delivery of babies</v>
      </c>
      <c r="M107" s="101" t="s">
        <v>6</v>
      </c>
      <c r="N107" s="203"/>
      <c r="O107" s="203"/>
      <c r="P107" s="203"/>
      <c r="Q107" s="203"/>
    </row>
    <row r="108" spans="1:17" s="204" customFormat="1" ht="21" customHeight="1">
      <c r="A108" s="203">
        <v>106</v>
      </c>
      <c r="B108" s="204" t="s">
        <v>289</v>
      </c>
      <c r="D108" s="203">
        <v>1</v>
      </c>
      <c r="E108" s="203">
        <v>4</v>
      </c>
      <c r="F108" s="204" t="s">
        <v>316</v>
      </c>
      <c r="G108" s="205">
        <v>10</v>
      </c>
      <c r="H108" s="205">
        <v>60</v>
      </c>
      <c r="I108" s="205">
        <f ca="1">RANDBETWEEN(1,24)</f>
        <v>14</v>
      </c>
      <c r="J108" s="204" t="str">
        <f ca="1">IF(RANDBETWEEN(1,100)&lt;=40,LOOKUP(I108,'Gem types'!$B$3:$B$26,'Gem types'!$C$3:$C$26),"none")</f>
        <v>Carnelian</v>
      </c>
      <c r="K108" s="101" t="str">
        <f>IF(I108=0,"",LOOKUP(I108,'Gem types'!$B$3:$B$55,'Gem types'!$D$3:$D$55))</f>
        <v>orange to reddish brown</v>
      </c>
      <c r="L108" s="101" t="str">
        <f>IF(I108=0,"",LOOKUP(I108,'Gem types'!$B$3:$B$55,'Gem types'!$F$3:$F$55))</f>
        <v>protection from evil</v>
      </c>
      <c r="M108" s="101" t="s">
        <v>6</v>
      </c>
      <c r="N108" s="203"/>
      <c r="O108" s="203"/>
      <c r="P108" s="203"/>
      <c r="Q108" s="203"/>
    </row>
    <row r="109" spans="1:17" s="204" customFormat="1" ht="21" customHeight="1">
      <c r="A109" s="203">
        <v>107</v>
      </c>
      <c r="B109" s="204" t="s">
        <v>289</v>
      </c>
      <c r="D109" s="203">
        <v>1</v>
      </c>
      <c r="E109" s="203">
        <v>4</v>
      </c>
      <c r="F109" s="204" t="s">
        <v>317</v>
      </c>
      <c r="G109" s="205">
        <v>10</v>
      </c>
      <c r="H109" s="205">
        <v>80</v>
      </c>
      <c r="I109" s="205">
        <f ca="1">RANDBETWEEN(1,24)</f>
        <v>4</v>
      </c>
      <c r="J109" s="204" t="str">
        <f ca="1">IF(RANDBETWEEN(1,100)&lt;=40,LOOKUP(I109,'Gem types'!$B$3:$B$26,'Gem types'!$C$3:$C$26),"none")</f>
        <v>none</v>
      </c>
      <c r="K109" s="101" t="str">
        <f>IF(I109=0,"",LOOKUP(I109,'Gem types'!$B$3:$B$55,'Gem types'!$D$3:$D$55))</f>
        <v>circles of gray, white, brown, blue, and/or green</v>
      </c>
      <c r="L109" s="101" t="str">
        <f>IF(I109=0,"",LOOKUP(I109,'Gem types'!$B$3:$B$55,'Gem types'!$F$3:$F$55))</f>
        <v>induces restful sleep</v>
      </c>
      <c r="M109" s="101" t="s">
        <v>6</v>
      </c>
      <c r="N109" s="203"/>
      <c r="O109" s="203"/>
      <c r="P109" s="203"/>
      <c r="Q109" s="203"/>
    </row>
    <row r="110" spans="1:17" s="204" customFormat="1" ht="21" customHeight="1">
      <c r="A110" s="203">
        <v>108</v>
      </c>
      <c r="B110" s="204" t="s">
        <v>289</v>
      </c>
      <c r="D110" s="203">
        <v>1</v>
      </c>
      <c r="E110" s="203">
        <v>4</v>
      </c>
      <c r="F110" s="204" t="s">
        <v>318</v>
      </c>
      <c r="G110" s="205">
        <v>20</v>
      </c>
      <c r="H110" s="205">
        <v>120</v>
      </c>
      <c r="I110" s="205">
        <f ca="1">RANDBETWEEN(1,24)</f>
        <v>11</v>
      </c>
      <c r="J110" s="204" t="str">
        <f ca="1">IF(RANDBETWEEN(1,100)&lt;=40,LOOKUP(I110,'Gem types'!$B$3:$B$26,'Gem types'!$C$3:$C$26),"none")</f>
        <v>none</v>
      </c>
      <c r="K110" s="101" t="str">
        <f>IF(I110=0,"",LOOKUP(I110,'Gem types'!$B$3:$B$55,'Gem types'!$D$3:$D$55))</f>
        <v>rich brown with golden center under-hue</v>
      </c>
      <c r="L110" s="101" t="str">
        <f>IF(I110=0,"",LOOKUP(I110,'Gem types'!$B$3:$B$55,'Gem types'!$F$3:$F$55))</f>
        <v>protection against large cats (tigers, lions, panthers, etc.)</v>
      </c>
      <c r="M110" s="101" t="s">
        <v>6</v>
      </c>
      <c r="N110" s="203"/>
      <c r="O110" s="203"/>
      <c r="P110" s="203"/>
      <c r="Q110" s="203"/>
    </row>
    <row r="111" spans="1:17" s="204" customFormat="1" ht="21" customHeight="1">
      <c r="A111" s="203">
        <v>109</v>
      </c>
      <c r="B111" s="204" t="s">
        <v>289</v>
      </c>
      <c r="D111" s="203">
        <v>1</v>
      </c>
      <c r="E111" s="203">
        <v>4</v>
      </c>
      <c r="F111" s="204" t="s">
        <v>319</v>
      </c>
      <c r="G111" s="205">
        <v>30</v>
      </c>
      <c r="H111" s="205">
        <v>180</v>
      </c>
      <c r="I111" s="205">
        <f ca="1">RANDBETWEEN(1,24)</f>
        <v>21</v>
      </c>
      <c r="J111" s="204" t="str">
        <f ca="1">IF(RANDBETWEEN(1,100)&lt;=40,LOOKUP(I111,'Gem types'!$B$3:$B$26,'Gem types'!$C$3:$C$26),"none")</f>
        <v>none</v>
      </c>
      <c r="K111" s="101" t="str">
        <f>IF(I111=0,"",LOOKUP(I111,'Gem types'!$B$3:$B$55,'Gem types'!$D$3:$D$55))</f>
        <v>bands of red and white onyx</v>
      </c>
      <c r="L111" s="101" t="str">
        <f>IF(I111=0,"",LOOKUP(I111,'Gem types'!$B$3:$B$55,'Gem types'!$F$3:$F$55))</f>
        <v>aids clerics and paladins, increases effectiveness of healing spells</v>
      </c>
      <c r="M111" s="101" t="s">
        <v>6</v>
      </c>
      <c r="N111" s="203"/>
      <c r="O111" s="203"/>
      <c r="P111" s="203"/>
      <c r="Q111" s="203"/>
    </row>
    <row r="112" spans="1:17" s="204" customFormat="1" ht="21" customHeight="1">
      <c r="A112" s="203">
        <v>110</v>
      </c>
      <c r="B112" s="204" t="s">
        <v>290</v>
      </c>
      <c r="D112" s="203">
        <v>3</v>
      </c>
      <c r="E112" s="203">
        <v>12</v>
      </c>
      <c r="F112" s="204" t="s">
        <v>317</v>
      </c>
      <c r="G112" s="205">
        <v>40</v>
      </c>
      <c r="H112" s="205">
        <v>240</v>
      </c>
      <c r="I112" s="205">
        <f ca="1">RANDBETWEEN(13,39)</f>
        <v>38</v>
      </c>
      <c r="J112" s="204" t="str">
        <f ca="1">IF(RANDBETWEEN(1,100)&lt;=80,LOOKUP(I112,'Gem types'!$B$15:$B$41,'Gem types'!$C$15:$C$41),"none")</f>
        <v>Topaz</v>
      </c>
      <c r="K112" s="101" t="str">
        <f>IF(I112=0,"",LOOKUP(I112,'Gem types'!$B$3:$B$55,'Gem types'!$D$3:$D$55))</f>
        <v>golden yellow</v>
      </c>
      <c r="L112" s="101" t="str">
        <f>IF(I112=0,"",LOOKUP(I112,'Gem types'!$B$3:$B$55,'Gem types'!$F$3:$F$55))</f>
        <v>wards off evil spells</v>
      </c>
      <c r="M112" s="101" t="s">
        <v>6</v>
      </c>
      <c r="N112" s="203"/>
      <c r="O112" s="203"/>
      <c r="P112" s="203"/>
      <c r="Q112" s="203"/>
    </row>
    <row r="113" spans="1:17" s="204" customFormat="1" ht="21" customHeight="1">
      <c r="A113" s="203">
        <v>111</v>
      </c>
      <c r="B113" s="204" t="s">
        <v>290</v>
      </c>
      <c r="D113" s="203">
        <v>3</v>
      </c>
      <c r="E113" s="203">
        <v>12</v>
      </c>
      <c r="F113" s="204" t="s">
        <v>318</v>
      </c>
      <c r="G113" s="205">
        <v>50</v>
      </c>
      <c r="H113" s="205">
        <v>400</v>
      </c>
      <c r="I113" s="205">
        <f ca="1">RANDBETWEEN(13,39)</f>
        <v>24</v>
      </c>
      <c r="J113" s="204" t="str">
        <f ca="1">IF(RANDBETWEEN(1,100)&lt;=80,LOOKUP(I113,'Gem types'!$B$15:$B$41,'Gem types'!$C$15:$C$41),"none")</f>
        <v>Zircon</v>
      </c>
      <c r="K113" s="101" t="str">
        <f>IF(I113=0,"",LOOKUP(I113,'Gem types'!$B$3:$B$55,'Gem types'!$D$3:$D$55))</f>
        <v>clear pale blue-green</v>
      </c>
      <c r="L113" s="101" t="str">
        <f>IF(I113=0,"",LOOKUP(I113,'Gem types'!$B$3:$B$55,'Gem types'!$F$3:$F$55))</f>
        <v>charms intelligent, water-dwelling creatures</v>
      </c>
      <c r="M113" s="101" t="s">
        <v>6</v>
      </c>
      <c r="N113" s="203"/>
      <c r="O113" s="203"/>
      <c r="P113" s="203"/>
      <c r="Q113" s="203"/>
    </row>
    <row r="114" spans="1:17" s="204" customFormat="1" ht="21" customHeight="1">
      <c r="A114" s="203">
        <v>112</v>
      </c>
      <c r="B114" s="204" t="s">
        <v>290</v>
      </c>
      <c r="D114" s="203">
        <v>3</v>
      </c>
      <c r="E114" s="203">
        <v>12</v>
      </c>
      <c r="F114" s="204" t="s">
        <v>319</v>
      </c>
      <c r="G114" s="205">
        <v>80</v>
      </c>
      <c r="H114" s="205">
        <v>500</v>
      </c>
      <c r="I114" s="205">
        <f ca="1">RANDBETWEEN(13,39)</f>
        <v>27</v>
      </c>
      <c r="J114" s="204" t="str">
        <f ca="1">IF(RANDBETWEEN(1,100)&lt;=80,LOOKUP(I114,'Gem types'!$B$15:$B$41,'Gem types'!$C$15:$C$41),"none")</f>
        <v>none</v>
      </c>
      <c r="K114" s="101" t="str">
        <f>IF(I114=0,"",LOOKUP(I114,'Gem types'!$B$3:$B$55,'Gem types'!$D$3:$D$55))</f>
        <v>deep purple</v>
      </c>
      <c r="L114" s="101" t="str">
        <f>IF(I114=0,"",LOOKUP(I114,'Gem types'!$B$3:$B$55,'Gem types'!$F$3:$F$55))</f>
        <v>prevents drunkeness or drugging</v>
      </c>
      <c r="M114" s="101" t="s">
        <v>6</v>
      </c>
      <c r="N114" s="203"/>
      <c r="O114" s="203"/>
      <c r="P114" s="203"/>
      <c r="Q114" s="203"/>
    </row>
    <row r="115" spans="1:17" s="204" customFormat="1" ht="21" customHeight="1">
      <c r="A115" s="203">
        <v>113</v>
      </c>
      <c r="B115" s="204" t="s">
        <v>291</v>
      </c>
      <c r="D115" s="203">
        <v>0</v>
      </c>
      <c r="E115" s="203">
        <v>0</v>
      </c>
      <c r="F115" s="204" t="s">
        <v>321</v>
      </c>
      <c r="G115" s="205">
        <v>4</v>
      </c>
      <c r="H115" s="205">
        <v>40</v>
      </c>
      <c r="I115" s="205">
        <f ca="1">RANDBETWEEN(1,24)</f>
        <v>18</v>
      </c>
      <c r="J115" s="204" t="str">
        <f ca="1">IF(RANDBETWEEN(1,100)&lt;=40,LOOKUP(I115,'Gem types'!$B$3:$B$26,'Gem types'!$C$3:$C$26),"none")</f>
        <v>none</v>
      </c>
      <c r="K115" s="101" t="str">
        <f>IF(I115=0,"",LOOKUP(I115,'Gem types'!$B$3:$B$55,'Gem types'!$D$3:$D$55))</f>
        <v>white with pale blue glow</v>
      </c>
      <c r="L115" s="101" t="str">
        <f>IF(I115=0,"",LOOKUP(I115,'Gem types'!$B$3:$B$55,'Gem types'!$F$3:$F$55))</f>
        <v>causes lycanthropy</v>
      </c>
      <c r="M115" s="101" t="s">
        <v>7</v>
      </c>
      <c r="N115" s="203"/>
      <c r="O115" s="203"/>
      <c r="P115" s="203"/>
      <c r="Q115" s="203"/>
    </row>
    <row r="116" spans="1:17" s="204" customFormat="1" ht="21" customHeight="1">
      <c r="A116" s="203">
        <v>114</v>
      </c>
      <c r="B116" s="204" t="s">
        <v>291</v>
      </c>
      <c r="D116" s="203">
        <v>0</v>
      </c>
      <c r="E116" s="203">
        <v>0</v>
      </c>
      <c r="F116" s="204" t="s">
        <v>316</v>
      </c>
      <c r="G116" s="205">
        <v>10</v>
      </c>
      <c r="H116" s="205">
        <v>60</v>
      </c>
      <c r="I116" s="205">
        <f ca="1">RANDBETWEEN(1,24)</f>
        <v>16</v>
      </c>
      <c r="J116" s="204" t="str">
        <f ca="1">IF(RANDBETWEEN(1,100)&lt;=40,LOOKUP(I116,'Gem types'!$B$3:$B$26,'Gem types'!$C$3:$C$26),"none")</f>
        <v>none</v>
      </c>
      <c r="K116" s="101" t="str">
        <f>IF(I116=0,"",LOOKUP(I116,'Gem types'!$B$3:$B$55,'Gem types'!$D$3:$D$55))</f>
        <v>pale yellow brown</v>
      </c>
      <c r="L116" s="101" t="str">
        <f>IF(I116=0,"",LOOKUP(I116,'Gem types'!$B$3:$B$55,'Gem types'!$F$3:$F$55))</f>
        <v>induces severe flatulance</v>
      </c>
      <c r="M116" s="101" t="s">
        <v>7</v>
      </c>
      <c r="N116" s="203"/>
      <c r="O116" s="203"/>
      <c r="P116" s="203"/>
      <c r="Q116" s="203"/>
    </row>
    <row r="117" spans="1:17" s="204" customFormat="1" ht="21" customHeight="1">
      <c r="A117" s="203">
        <v>115</v>
      </c>
      <c r="B117" s="204" t="s">
        <v>291</v>
      </c>
      <c r="D117" s="203">
        <v>0</v>
      </c>
      <c r="E117" s="203">
        <v>0</v>
      </c>
      <c r="F117" s="204" t="s">
        <v>317</v>
      </c>
      <c r="G117" s="205">
        <v>10</v>
      </c>
      <c r="H117" s="205">
        <v>80</v>
      </c>
      <c r="I117" s="205">
        <f ca="1">RANDBETWEEN(1,24)</f>
        <v>22</v>
      </c>
      <c r="J117" s="204" t="str">
        <f ca="1">IF(RANDBETWEEN(1,100)&lt;=40,LOOKUP(I117,'Gem types'!$B$3:$B$26,'Gem types'!$C$3:$C$26),"none")</f>
        <v>none</v>
      </c>
      <c r="K117" s="101" t="str">
        <f>IF(I117=0,"",LOOKUP(I117,'Gem types'!$B$3:$B$55,'Gem types'!$D$3:$D$55))</f>
        <v>gray, yellow, or blue (cairngorm), all light</v>
      </c>
      <c r="L117" s="101" t="str">
        <f>IF(I117=0,"",LOOKUP(I117,'Gem types'!$B$3:$B$55,'Gem types'!$F$3:$F$55))</f>
        <v>protection from poison</v>
      </c>
      <c r="M117" s="101" t="s">
        <v>7</v>
      </c>
      <c r="N117" s="203"/>
      <c r="O117" s="203"/>
      <c r="P117" s="203"/>
      <c r="Q117" s="203"/>
    </row>
    <row r="118" spans="1:17" s="204" customFormat="1" ht="21" customHeight="1">
      <c r="A118" s="203">
        <v>116</v>
      </c>
      <c r="B118" s="204" t="s">
        <v>291</v>
      </c>
      <c r="D118" s="203">
        <v>0</v>
      </c>
      <c r="E118" s="203">
        <v>0</v>
      </c>
      <c r="F118" s="204" t="s">
        <v>318</v>
      </c>
      <c r="G118" s="205">
        <v>20</v>
      </c>
      <c r="H118" s="205">
        <v>120</v>
      </c>
      <c r="I118" s="205">
        <f ca="1">RANDBETWEEN(1,24)</f>
        <v>4</v>
      </c>
      <c r="J118" s="204" t="str">
        <f ca="1">IF(RANDBETWEEN(1,100)&lt;=40,LOOKUP(I118,'Gem types'!$B$3:$B$26,'Gem types'!$C$3:$C$26),"none")</f>
        <v>Eye Agate</v>
      </c>
      <c r="K118" s="101" t="str">
        <f>IF(I118=0,"",LOOKUP(I118,'Gem types'!$B$3:$B$55,'Gem types'!$D$3:$D$55))</f>
        <v>circles of gray, white, brown, blue, and/or green</v>
      </c>
      <c r="L118" s="101" t="str">
        <f>IF(I118=0,"",LOOKUP(I118,'Gem types'!$B$3:$B$55,'Gem types'!$F$3:$F$55))</f>
        <v>induces restful sleep</v>
      </c>
      <c r="M118" s="101" t="s">
        <v>7</v>
      </c>
      <c r="N118" s="203"/>
      <c r="O118" s="203"/>
      <c r="P118" s="203"/>
      <c r="Q118" s="203"/>
    </row>
    <row r="119" spans="1:17" s="204" customFormat="1" ht="21" customHeight="1">
      <c r="A119" s="203">
        <v>117</v>
      </c>
      <c r="B119" s="204" t="s">
        <v>291</v>
      </c>
      <c r="D119" s="203">
        <v>0</v>
      </c>
      <c r="E119" s="203">
        <v>0</v>
      </c>
      <c r="F119" s="204" t="s">
        <v>319</v>
      </c>
      <c r="G119" s="205">
        <v>30</v>
      </c>
      <c r="H119" s="205">
        <v>180</v>
      </c>
      <c r="I119" s="205">
        <f ca="1">RANDBETWEEN(1,24)</f>
        <v>11</v>
      </c>
      <c r="J119" s="204" t="str">
        <f ca="1">IF(RANDBETWEEN(1,100)&lt;=40,LOOKUP(I119,'Gem types'!$B$3:$B$26,'Gem types'!$C$3:$C$26),"none")</f>
        <v>none</v>
      </c>
      <c r="K119" s="101" t="str">
        <f>IF(I119=0,"",LOOKUP(I119,'Gem types'!$B$3:$B$55,'Gem types'!$D$3:$D$55))</f>
        <v>rich brown with golden center under-hue</v>
      </c>
      <c r="L119" s="101" t="str">
        <f>IF(I119=0,"",LOOKUP(I119,'Gem types'!$B$3:$B$55,'Gem types'!$F$3:$F$55))</f>
        <v>protection against large cats (tigers, lions, panthers, etc.)</v>
      </c>
      <c r="M119" s="101" t="s">
        <v>7</v>
      </c>
      <c r="N119" s="203"/>
      <c r="O119" s="203"/>
      <c r="P119" s="203"/>
      <c r="Q119" s="203"/>
    </row>
    <row r="120" spans="1:17" s="204" customFormat="1" ht="21" customHeight="1">
      <c r="A120" s="203">
        <v>118</v>
      </c>
      <c r="B120" s="204" t="s">
        <v>292</v>
      </c>
      <c r="D120" s="203">
        <v>1</v>
      </c>
      <c r="E120" s="203">
        <v>8</v>
      </c>
      <c r="F120" s="204" t="s">
        <v>317</v>
      </c>
      <c r="G120" s="205">
        <v>40</v>
      </c>
      <c r="H120" s="205">
        <v>240</v>
      </c>
      <c r="I120" s="205">
        <f ca="1">RANDBETWEEN(13,39)</f>
        <v>32</v>
      </c>
      <c r="J120" s="204" t="str">
        <f ca="1">IF(RANDBETWEEN(1,100)&lt;=80,LOOKUP(I120,'Gem types'!$B$15:$B$41,'Gem types'!$C$15:$C$41),"none")</f>
        <v>none</v>
      </c>
      <c r="K120" s="101" t="str">
        <f>IF(I120=0,"",LOOKUP(I120,'Gem types'!$B$3:$B$55,'Gem types'!$D$3:$D$55))</f>
        <v>red, brown-green, or violet (the most prized)</v>
      </c>
      <c r="L120" s="101" t="str">
        <f>IF(I120=0,"",LOOKUP(I120,'Gem types'!$B$3:$B$55,'Gem types'!$F$3:$F$55))</f>
        <v>curses enemies, required for casting an 'evil-eye' curse</v>
      </c>
      <c r="M120" s="101" t="s">
        <v>7</v>
      </c>
      <c r="N120" s="203"/>
      <c r="O120" s="203"/>
      <c r="P120" s="203"/>
      <c r="Q120" s="203"/>
    </row>
    <row r="121" spans="1:17" s="204" customFormat="1" ht="21" customHeight="1">
      <c r="A121" s="203">
        <v>119</v>
      </c>
      <c r="B121" s="204" t="s">
        <v>292</v>
      </c>
      <c r="D121" s="203">
        <v>1</v>
      </c>
      <c r="E121" s="203">
        <v>8</v>
      </c>
      <c r="F121" s="204" t="s">
        <v>318</v>
      </c>
      <c r="G121" s="205">
        <v>50</v>
      </c>
      <c r="H121" s="205">
        <v>400</v>
      </c>
      <c r="I121" s="205">
        <f ca="1">RANDBETWEEN(13,39)</f>
        <v>17</v>
      </c>
      <c r="J121" s="204" t="str">
        <f ca="1">IF(RANDBETWEEN(1,100)&lt;=80,LOOKUP(I121,'Gem types'!$B$15:$B$41,'Gem types'!$C$15:$C$41),"none")</f>
        <v>Jasper</v>
      </c>
      <c r="K121" s="101" t="str">
        <f>IF(I121=0,"",LOOKUP(I121,'Gem types'!$B$3:$B$55,'Gem types'!$D$3:$D$55))</f>
        <v>blue, black to brown</v>
      </c>
      <c r="L121" s="101" t="str">
        <f>IF(I121=0,"",LOOKUP(I121,'Gem types'!$B$3:$B$55,'Gem types'!$F$3:$F$55))</f>
        <v>protection from venom</v>
      </c>
      <c r="M121" s="101" t="s">
        <v>7</v>
      </c>
      <c r="N121" s="203"/>
      <c r="O121" s="203"/>
      <c r="P121" s="203"/>
      <c r="Q121" s="203"/>
    </row>
    <row r="122" spans="1:17" s="204" customFormat="1" ht="21" customHeight="1">
      <c r="A122" s="203">
        <v>120</v>
      </c>
      <c r="B122" s="204" t="s">
        <v>292</v>
      </c>
      <c r="D122" s="203">
        <v>1</v>
      </c>
      <c r="E122" s="203">
        <v>8</v>
      </c>
      <c r="F122" s="204" t="s">
        <v>319</v>
      </c>
      <c r="G122" s="205">
        <v>80</v>
      </c>
      <c r="H122" s="205">
        <v>500</v>
      </c>
      <c r="I122" s="205">
        <f ca="1">RANDBETWEEN(13,39)</f>
        <v>32</v>
      </c>
      <c r="J122" s="204" t="str">
        <f ca="1">IF(RANDBETWEEN(1,100)&lt;=80,LOOKUP(I122,'Gem types'!$B$15:$B$41,'Gem types'!$C$15:$C$41),"none")</f>
        <v>Garnet</v>
      </c>
      <c r="K122" s="101" t="str">
        <f>IF(I122=0,"",LOOKUP(I122,'Gem types'!$B$3:$B$55,'Gem types'!$D$3:$D$55))</f>
        <v>red, brown-green, or violet (the most prized)</v>
      </c>
      <c r="L122" s="101" t="str">
        <f>IF(I122=0,"",LOOKUP(I122,'Gem types'!$B$3:$B$55,'Gem types'!$F$3:$F$55))</f>
        <v>curses enemies, required for casting an 'evil-eye' curse</v>
      </c>
      <c r="M122" s="101" t="s">
        <v>7</v>
      </c>
      <c r="N122" s="203"/>
      <c r="O122" s="203"/>
      <c r="P122" s="203"/>
      <c r="Q122" s="203"/>
    </row>
    <row r="123" spans="1:17" s="204" customFormat="1" ht="21" customHeight="1">
      <c r="A123" s="203">
        <v>121</v>
      </c>
      <c r="B123" s="204" t="s">
        <v>293</v>
      </c>
      <c r="D123" s="203">
        <v>0</v>
      </c>
      <c r="E123" s="203">
        <v>0</v>
      </c>
      <c r="F123" s="204" t="s">
        <v>321</v>
      </c>
      <c r="G123" s="205">
        <v>4</v>
      </c>
      <c r="H123" s="205">
        <v>40</v>
      </c>
      <c r="I123" s="205">
        <f ca="1">RANDBETWEEN(1,24)</f>
        <v>15</v>
      </c>
      <c r="J123" s="204" t="str">
        <f ca="1">IF(RANDBETWEEN(1,100)&lt;=40,LOOKUP(I123,'Gem types'!$B$3:$B$26,'Gem types'!$C$3:$C$26),"none")</f>
        <v>none</v>
      </c>
      <c r="K123" s="101" t="str">
        <f>IF(I123=0,"",LOOKUP(I123,'Gem types'!$B$3:$B$55,'Gem types'!$D$3:$D$55))</f>
        <v>white</v>
      </c>
      <c r="L123" s="101" t="str">
        <f>IF(I123=0,"",LOOKUP(I123,'Gem types'!$B$3:$B$55,'Gem types'!$F$3:$F$55))</f>
        <v>wards off undead</v>
      </c>
      <c r="M123" s="101" t="s">
        <v>8</v>
      </c>
      <c r="N123" s="203"/>
      <c r="O123" s="203"/>
      <c r="P123" s="203"/>
      <c r="Q123" s="203"/>
    </row>
    <row r="124" spans="1:17" s="204" customFormat="1" ht="21" customHeight="1">
      <c r="A124" s="203">
        <v>122</v>
      </c>
      <c r="B124" s="204" t="s">
        <v>293</v>
      </c>
      <c r="D124" s="203">
        <v>0</v>
      </c>
      <c r="E124" s="203">
        <v>0</v>
      </c>
      <c r="F124" s="204" t="s">
        <v>316</v>
      </c>
      <c r="G124" s="205">
        <v>10</v>
      </c>
      <c r="H124" s="205">
        <v>60</v>
      </c>
      <c r="I124" s="205">
        <f ca="1">RANDBETWEEN(1,24)</f>
        <v>12</v>
      </c>
      <c r="J124" s="204" t="str">
        <f ca="1">IF(RANDBETWEEN(1,100)&lt;=40,LOOKUP(I124,'Gem types'!$B$3:$B$26,'Gem types'!$C$3:$C$26),"none")</f>
        <v>none</v>
      </c>
      <c r="K124" s="101" t="str">
        <f>IF(I124=0,"",LOOKUP(I124,'Gem types'!$B$3:$B$55,'Gem types'!$D$3:$D$55))</f>
        <v>light blue-green</v>
      </c>
      <c r="L124" s="101" t="str">
        <f>IF(I124=0,"",LOOKUP(I124,'Gem types'!$B$3:$B$55,'Gem types'!$F$3:$F$55))</f>
        <v>aids horses in all ways, but shatters upon use</v>
      </c>
      <c r="M124" s="101" t="s">
        <v>8</v>
      </c>
      <c r="N124" s="203"/>
      <c r="O124" s="203"/>
      <c r="P124" s="203"/>
      <c r="Q124" s="203"/>
    </row>
    <row r="125" spans="1:17" s="204" customFormat="1" ht="21" customHeight="1">
      <c r="A125" s="203">
        <v>123</v>
      </c>
      <c r="B125" s="204" t="s">
        <v>293</v>
      </c>
      <c r="D125" s="203">
        <v>0</v>
      </c>
      <c r="E125" s="203">
        <v>0</v>
      </c>
      <c r="F125" s="204" t="s">
        <v>317</v>
      </c>
      <c r="G125" s="205">
        <v>10</v>
      </c>
      <c r="H125" s="205">
        <v>80</v>
      </c>
      <c r="I125" s="205">
        <f ca="1">RANDBETWEEN(1,24)</f>
        <v>16</v>
      </c>
      <c r="J125" s="204" t="str">
        <f ca="1">IF(RANDBETWEEN(1,100)&lt;=40,LOOKUP(I125,'Gem types'!$B$3:$B$26,'Gem types'!$C$3:$C$26),"none")</f>
        <v>none</v>
      </c>
      <c r="K125" s="101" t="str">
        <f>IF(I125=0,"",LOOKUP(I125,'Gem types'!$B$3:$B$55,'Gem types'!$D$3:$D$55))</f>
        <v>pale yellow brown</v>
      </c>
      <c r="L125" s="101" t="str">
        <f>IF(I125=0,"",LOOKUP(I125,'Gem types'!$B$3:$B$55,'Gem types'!$F$3:$F$55))</f>
        <v>induces severe flatulance</v>
      </c>
      <c r="M125" s="101" t="s">
        <v>8</v>
      </c>
      <c r="N125" s="203"/>
      <c r="O125" s="203"/>
      <c r="P125" s="203"/>
      <c r="Q125" s="203"/>
    </row>
    <row r="126" spans="1:17" s="204" customFormat="1" ht="21" customHeight="1">
      <c r="A126" s="203">
        <v>124</v>
      </c>
      <c r="B126" s="204" t="s">
        <v>293</v>
      </c>
      <c r="D126" s="203">
        <v>0</v>
      </c>
      <c r="E126" s="203">
        <v>0</v>
      </c>
      <c r="F126" s="204" t="s">
        <v>318</v>
      </c>
      <c r="G126" s="205">
        <v>20</v>
      </c>
      <c r="H126" s="205">
        <v>120</v>
      </c>
      <c r="I126" s="205">
        <f ca="1">RANDBETWEEN(1,24)</f>
        <v>6</v>
      </c>
      <c r="J126" s="204" t="str">
        <f ca="1">IF(RANDBETWEEN(1,100)&lt;=40,LOOKUP(I126,'Gem types'!$B$3:$B$26,'Gem types'!$C$3:$C$26),"none")</f>
        <v>none</v>
      </c>
      <c r="K126" s="101" t="str">
        <f>IF(I126=0,"",LOOKUP(I126,'Gem types'!$B$3:$B$55,'Gem types'!$D$3:$D$55))</f>
        <v>light and dark blue with yellow flecks</v>
      </c>
      <c r="L126" s="101" t="str">
        <f>IF(I126=0,"",LOOKUP(I126,'Gem types'!$B$3:$B$55,'Gem types'!$F$3:$F$55))</f>
        <v>raises morale, courage</v>
      </c>
      <c r="M126" s="101" t="s">
        <v>8</v>
      </c>
      <c r="N126" s="203"/>
      <c r="O126" s="203"/>
      <c r="P126" s="203"/>
      <c r="Q126" s="203"/>
    </row>
    <row r="127" spans="1:17" s="204" customFormat="1" ht="21" customHeight="1">
      <c r="A127" s="203">
        <v>125</v>
      </c>
      <c r="B127" s="204" t="s">
        <v>293</v>
      </c>
      <c r="D127" s="203">
        <v>0</v>
      </c>
      <c r="E127" s="203">
        <v>0</v>
      </c>
      <c r="F127" s="204" t="s">
        <v>319</v>
      </c>
      <c r="G127" s="205">
        <v>30</v>
      </c>
      <c r="H127" s="205">
        <v>180</v>
      </c>
      <c r="I127" s="205">
        <f ca="1">RANDBETWEEN(1,24)</f>
        <v>7</v>
      </c>
      <c r="J127" s="204" t="str">
        <f ca="1">IF(RANDBETWEEN(1,100)&lt;=40,LOOKUP(I127,'Gem types'!$B$3:$B$26,'Gem types'!$C$3:$C$26),"none")</f>
        <v>Malachite</v>
      </c>
      <c r="K127" s="101" t="str">
        <f>IF(I127=0,"",LOOKUP(I127,'Gem types'!$B$3:$B$55,'Gem types'!$D$3:$D$55))</f>
        <v>striated light and dark green</v>
      </c>
      <c r="L127" s="101" t="str">
        <f>IF(I127=0,"",LOOKUP(I127,'Gem types'!$B$3:$B$55,'Gem types'!$F$3:$F$55))</f>
        <v>protection from falling</v>
      </c>
      <c r="M127" s="101" t="s">
        <v>8</v>
      </c>
      <c r="N127" s="203"/>
      <c r="O127" s="203"/>
      <c r="P127" s="203"/>
      <c r="Q127" s="203"/>
    </row>
    <row r="128" spans="1:17" s="204" customFormat="1" ht="21" customHeight="1">
      <c r="A128" s="203">
        <v>126</v>
      </c>
      <c r="B128" s="204" t="s">
        <v>294</v>
      </c>
      <c r="D128" s="203">
        <v>1</v>
      </c>
      <c r="E128" s="203">
        <v>8</v>
      </c>
      <c r="F128" s="204" t="s">
        <v>317</v>
      </c>
      <c r="G128" s="205">
        <v>40</v>
      </c>
      <c r="H128" s="205">
        <v>240</v>
      </c>
      <c r="I128" s="205">
        <f ca="1">RANDBETWEEN(13,39)</f>
        <v>31</v>
      </c>
      <c r="J128" s="204" t="str">
        <f ca="1">IF(RANDBETWEEN(1,100)&lt;=80,LOOKUP(I128,'Gem types'!$B$15:$B$41,'Gem types'!$C$15:$C$41),"none")</f>
        <v>Coral</v>
      </c>
      <c r="K128" s="101" t="str">
        <f>IF(I128=0,"",LOOKUP(I128,'Gem types'!$B$3:$B$55,'Gem types'!$D$3:$D$55))</f>
        <v>crimson</v>
      </c>
      <c r="L128" s="101" t="str">
        <f>IF(I128=0,"",LOOKUP(I128,'Gem types'!$B$3:$B$55,'Gem types'!$F$3:$F$55))</f>
        <v>calms weather, safety in river crossing, cures madness, stanches bleeding</v>
      </c>
      <c r="M128" s="101" t="s">
        <v>8</v>
      </c>
      <c r="N128" s="203"/>
      <c r="O128" s="203"/>
      <c r="P128" s="203"/>
      <c r="Q128" s="203"/>
    </row>
    <row r="129" spans="1:17" s="204" customFormat="1" ht="21" customHeight="1">
      <c r="A129" s="203">
        <v>127</v>
      </c>
      <c r="B129" s="204" t="s">
        <v>294</v>
      </c>
      <c r="D129" s="203">
        <v>1</v>
      </c>
      <c r="E129" s="203">
        <v>8</v>
      </c>
      <c r="F129" s="204" t="s">
        <v>318</v>
      </c>
      <c r="G129" s="205">
        <v>50</v>
      </c>
      <c r="H129" s="205">
        <v>400</v>
      </c>
      <c r="I129" s="205">
        <f ca="1">RANDBETWEEN(13,39)</f>
        <v>34</v>
      </c>
      <c r="J129" s="204" t="str">
        <f ca="1">IF(RANDBETWEEN(1,100)&lt;=80,LOOKUP(I129,'Gem types'!$B$15:$B$41,'Gem types'!$C$15:$C$41),"none")</f>
        <v>Jet</v>
      </c>
      <c r="K129" s="101" t="str">
        <f>IF(I129=0,"",LOOKUP(I129,'Gem types'!$B$3:$B$55,'Gem types'!$D$3:$D$55))</f>
        <v>deep black</v>
      </c>
      <c r="L129" s="101" t="str">
        <f>IF(I129=0,"",LOOKUP(I129,'Gem types'!$B$3:$B$55,'Gem types'!$F$3:$F$55))</f>
        <v>soul object material</v>
      </c>
      <c r="M129" s="101" t="s">
        <v>8</v>
      </c>
      <c r="N129" s="203"/>
      <c r="O129" s="203"/>
      <c r="P129" s="203"/>
      <c r="Q129" s="203"/>
    </row>
    <row r="130" spans="1:17" s="204" customFormat="1" ht="21" customHeight="1">
      <c r="A130" s="203">
        <v>128</v>
      </c>
      <c r="B130" s="204" t="s">
        <v>294</v>
      </c>
      <c r="D130" s="203">
        <v>1</v>
      </c>
      <c r="E130" s="203">
        <v>8</v>
      </c>
      <c r="F130" s="204" t="s">
        <v>319</v>
      </c>
      <c r="G130" s="205">
        <v>80</v>
      </c>
      <c r="H130" s="205">
        <v>500</v>
      </c>
      <c r="I130" s="205">
        <f ca="1">RANDBETWEEN(13,39)</f>
        <v>26</v>
      </c>
      <c r="J130" s="204" t="str">
        <f ca="1">IF(RANDBETWEEN(1,100)&lt;=80,LOOKUP(I130,'Gem types'!$B$15:$B$41,'Gem types'!$C$15:$C$41),"none")</f>
        <v>Alexandrite</v>
      </c>
      <c r="K130" s="101" t="str">
        <f>IF(I130=0,"",LOOKUP(I130,'Gem types'!$B$3:$B$55,'Gem types'!$D$3:$D$55))</f>
        <v>dark green</v>
      </c>
      <c r="L130" s="101" t="str">
        <f>IF(I130=0,"",LOOKUP(I130,'Gem types'!$B$3:$B$55,'Gem types'!$F$3:$F$55))</f>
        <v>good omens</v>
      </c>
      <c r="M130" s="101" t="s">
        <v>8</v>
      </c>
      <c r="N130" s="203"/>
      <c r="O130" s="203"/>
      <c r="P130" s="203"/>
      <c r="Q130" s="203"/>
    </row>
    <row r="131" spans="1:17" s="204" customFormat="1" ht="21" customHeight="1">
      <c r="A131" s="203">
        <v>129</v>
      </c>
      <c r="B131" s="204" t="s">
        <v>295</v>
      </c>
      <c r="D131" s="203">
        <v>0</v>
      </c>
      <c r="E131" s="203">
        <v>0</v>
      </c>
      <c r="F131" s="204" t="s">
        <v>321</v>
      </c>
      <c r="G131" s="205">
        <v>4</v>
      </c>
      <c r="H131" s="205">
        <v>40</v>
      </c>
      <c r="I131" s="205">
        <f ca="1">RANDBETWEEN(1,24)</f>
        <v>12</v>
      </c>
      <c r="J131" s="204" t="str">
        <f ca="1">IF(RANDBETWEEN(1,100)&lt;=40,LOOKUP(I131,'Gem types'!$B$3:$B$26,'Gem types'!$C$3:$C$26),"none")</f>
        <v>none</v>
      </c>
      <c r="K131" s="101" t="str">
        <f>IF(I131=0,"",LOOKUP(I131,'Gem types'!$B$3:$B$55,'Gem types'!$D$3:$D$55))</f>
        <v>light blue-green</v>
      </c>
      <c r="L131" s="101" t="str">
        <f>IF(I131=0,"",LOOKUP(I131,'Gem types'!$B$3:$B$55,'Gem types'!$F$3:$F$55))</f>
        <v>aids horses in all ways, but shatters upon use</v>
      </c>
      <c r="M131" s="101" t="s">
        <v>13</v>
      </c>
      <c r="N131" s="203"/>
      <c r="O131" s="203"/>
      <c r="P131" s="203"/>
      <c r="Q131" s="203"/>
    </row>
    <row r="132" spans="1:17" s="204" customFormat="1" ht="21" customHeight="1">
      <c r="A132" s="203">
        <v>130</v>
      </c>
      <c r="B132" s="204" t="s">
        <v>295</v>
      </c>
      <c r="D132" s="203">
        <v>0</v>
      </c>
      <c r="E132" s="203">
        <v>0</v>
      </c>
      <c r="F132" s="204" t="s">
        <v>316</v>
      </c>
      <c r="G132" s="205">
        <v>10</v>
      </c>
      <c r="H132" s="205">
        <v>60</v>
      </c>
      <c r="I132" s="205">
        <f ca="1">RANDBETWEEN(1,24)</f>
        <v>23</v>
      </c>
      <c r="J132" s="204" t="str">
        <f ca="1">IF(RANDBETWEEN(1,100)&lt;=40,LOOKUP(I132,'Gem types'!$B$3:$B$26,'Gem types'!$C$3:$C$26),"none")</f>
        <v>Star Rose Quartz</v>
      </c>
      <c r="K132" s="101" t="str">
        <f>IF(I132=0,"",LOOKUP(I132,'Gem types'!$B$3:$B$55,'Gem types'!$D$3:$D$55))</f>
        <v>translucent rosy stone with white "star" center</v>
      </c>
      <c r="L132" s="101" t="str">
        <f>IF(I132=0,"",LOOKUP(I132,'Gem types'!$B$3:$B$55,'Gem types'!$F$3:$F$55))</f>
        <v>induces love and passion</v>
      </c>
      <c r="M132" s="101" t="s">
        <v>13</v>
      </c>
      <c r="N132" s="203"/>
      <c r="O132" s="203"/>
      <c r="P132" s="203"/>
      <c r="Q132" s="203"/>
    </row>
    <row r="133" spans="1:17" s="204" customFormat="1" ht="21" customHeight="1">
      <c r="A133" s="203">
        <v>131</v>
      </c>
      <c r="B133" s="204" t="s">
        <v>295</v>
      </c>
      <c r="D133" s="203">
        <v>0</v>
      </c>
      <c r="E133" s="203">
        <v>0</v>
      </c>
      <c r="F133" s="204" t="s">
        <v>317</v>
      </c>
      <c r="G133" s="205">
        <v>10</v>
      </c>
      <c r="H133" s="205">
        <v>80</v>
      </c>
      <c r="I133" s="205">
        <f ca="1">RANDBETWEEN(1,24)</f>
        <v>3</v>
      </c>
      <c r="J133" s="204" t="str">
        <f ca="1">IF(RANDBETWEEN(1,100)&lt;=40,LOOKUP(I133,'Gem types'!$B$3:$B$26,'Gem types'!$C$3:$C$26),"none")</f>
        <v>none</v>
      </c>
      <c r="K133" s="101" t="str">
        <f>IF(I133=0,"",LOOKUP(I133,'Gem types'!$B$3:$B$55,'Gem types'!$D$3:$D$55))</f>
        <v>pale blue</v>
      </c>
      <c r="L133" s="101" t="str">
        <f>IF(I133=0,"",LOOKUP(I133,'Gem types'!$B$3:$B$55,'Gem types'!$F$3:$F$55))</f>
        <v>controls bodies of salt water</v>
      </c>
      <c r="M133" s="101" t="s">
        <v>13</v>
      </c>
      <c r="N133" s="203"/>
      <c r="O133" s="203"/>
      <c r="P133" s="203"/>
      <c r="Q133" s="203"/>
    </row>
    <row r="134" spans="1:17" s="204" customFormat="1" ht="21" customHeight="1">
      <c r="A134" s="203">
        <v>132</v>
      </c>
      <c r="B134" s="204" t="s">
        <v>295</v>
      </c>
      <c r="D134" s="203">
        <v>0</v>
      </c>
      <c r="E134" s="203">
        <v>0</v>
      </c>
      <c r="F134" s="204" t="s">
        <v>318</v>
      </c>
      <c r="G134" s="205">
        <v>20</v>
      </c>
      <c r="H134" s="205">
        <v>120</v>
      </c>
      <c r="I134" s="205">
        <f ca="1">RANDBETWEEN(1,24)</f>
        <v>24</v>
      </c>
      <c r="J134" s="204" t="str">
        <f ca="1">IF(RANDBETWEEN(1,100)&lt;=40,LOOKUP(I134,'Gem types'!$B$3:$B$26,'Gem types'!$C$3:$C$26),"none")</f>
        <v>none</v>
      </c>
      <c r="K134" s="101" t="str">
        <f>IF(I134=0,"",LOOKUP(I134,'Gem types'!$B$3:$B$55,'Gem types'!$D$3:$D$55))</f>
        <v>clear pale blue-green</v>
      </c>
      <c r="L134" s="101" t="str">
        <f>IF(I134=0,"",LOOKUP(I134,'Gem types'!$B$3:$B$55,'Gem types'!$F$3:$F$55))</f>
        <v>charms intelligent, water-dwelling creatures</v>
      </c>
      <c r="M134" s="101" t="s">
        <v>13</v>
      </c>
      <c r="N134" s="203"/>
      <c r="O134" s="203"/>
      <c r="P134" s="203"/>
      <c r="Q134" s="203"/>
    </row>
    <row r="135" spans="1:17" s="204" customFormat="1" ht="21" customHeight="1">
      <c r="A135" s="203">
        <v>133</v>
      </c>
      <c r="B135" s="204" t="s">
        <v>295</v>
      </c>
      <c r="D135" s="203">
        <v>0</v>
      </c>
      <c r="E135" s="203">
        <v>0</v>
      </c>
      <c r="F135" s="204" t="s">
        <v>319</v>
      </c>
      <c r="G135" s="205">
        <v>30</v>
      </c>
      <c r="H135" s="205">
        <v>180</v>
      </c>
      <c r="I135" s="205">
        <f ca="1">RANDBETWEEN(1,24)</f>
        <v>14</v>
      </c>
      <c r="J135" s="204" t="str">
        <f ca="1">IF(RANDBETWEEN(1,100)&lt;=40,LOOKUP(I135,'Gem types'!$B$3:$B$26,'Gem types'!$C$3:$C$26),"none")</f>
        <v>Carnelian</v>
      </c>
      <c r="K135" s="101" t="str">
        <f>IF(I135=0,"",LOOKUP(I135,'Gem types'!$B$3:$B$55,'Gem types'!$D$3:$D$55))</f>
        <v>orange to reddish brown</v>
      </c>
      <c r="L135" s="101" t="str">
        <f>IF(I135=0,"",LOOKUP(I135,'Gem types'!$B$3:$B$55,'Gem types'!$F$3:$F$55))</f>
        <v>protection from evil</v>
      </c>
      <c r="M135" s="101" t="s">
        <v>13</v>
      </c>
      <c r="N135" s="203"/>
      <c r="O135" s="203"/>
      <c r="P135" s="203"/>
      <c r="Q135" s="203"/>
    </row>
    <row r="136" spans="1:17" s="204" customFormat="1" ht="21" customHeight="1">
      <c r="A136" s="203">
        <v>134</v>
      </c>
      <c r="B136" s="204" t="s">
        <v>296</v>
      </c>
      <c r="D136" s="203">
        <v>10</v>
      </c>
      <c r="E136" s="203">
        <v>40</v>
      </c>
      <c r="F136" s="204" t="s">
        <v>317</v>
      </c>
      <c r="G136" s="205">
        <v>40</v>
      </c>
      <c r="H136" s="205">
        <v>240</v>
      </c>
      <c r="I136" s="205">
        <f ca="1">RANDBETWEEN(13,39)</f>
        <v>36</v>
      </c>
      <c r="J136" s="204" t="str">
        <f ca="1">IF(RANDBETWEEN(1,100)&lt;=80,LOOKUP(I136,'Gem types'!$B$15:$B$41,'Gem types'!$C$15:$C$41),"none")</f>
        <v>Peridot</v>
      </c>
      <c r="K136" s="101" t="str">
        <f>IF(I136=0,"",LOOKUP(I136,'Gem types'!$B$3:$B$55,'Gem types'!$D$3:$D$55))</f>
        <v>rich olive green (Chrysolite)</v>
      </c>
      <c r="L136" s="101" t="str">
        <f>IF(I136=0,"",LOOKUP(I136,'Gem types'!$B$3:$B$55,'Gem types'!$F$3:$F$55))</f>
        <v>wards off enchaments</v>
      </c>
      <c r="M136" s="101" t="s">
        <v>13</v>
      </c>
      <c r="N136" s="203"/>
      <c r="O136" s="203"/>
      <c r="P136" s="203"/>
      <c r="Q136" s="203"/>
    </row>
    <row r="137" spans="1:17" s="204" customFormat="1" ht="21" customHeight="1">
      <c r="A137" s="203">
        <v>135</v>
      </c>
      <c r="B137" s="204" t="s">
        <v>296</v>
      </c>
      <c r="D137" s="203">
        <v>10</v>
      </c>
      <c r="E137" s="203">
        <v>40</v>
      </c>
      <c r="F137" s="204" t="s">
        <v>318</v>
      </c>
      <c r="G137" s="205">
        <v>50</v>
      </c>
      <c r="H137" s="205">
        <v>400</v>
      </c>
      <c r="I137" s="205">
        <f ca="1">RANDBETWEEN(13,39)</f>
        <v>16</v>
      </c>
      <c r="J137" s="204" t="str">
        <f ca="1">IF(RANDBETWEEN(1,100)&lt;=80,LOOKUP(I137,'Gem types'!$B$15:$B$41,'Gem types'!$C$15:$C$41),"none")</f>
        <v>Citrine</v>
      </c>
      <c r="K137" s="101" t="str">
        <f>IF(I137=0,"",LOOKUP(I137,'Gem types'!$B$3:$B$55,'Gem types'!$D$3:$D$55))</f>
        <v>pale yellow brown</v>
      </c>
      <c r="L137" s="101" t="str">
        <f>IF(I137=0,"",LOOKUP(I137,'Gem types'!$B$3:$B$55,'Gem types'!$F$3:$F$55))</f>
        <v>induces severe flatulance</v>
      </c>
      <c r="M137" s="101" t="s">
        <v>13</v>
      </c>
      <c r="N137" s="203"/>
      <c r="O137" s="203"/>
      <c r="P137" s="203"/>
      <c r="Q137" s="203"/>
    </row>
    <row r="138" spans="1:17" s="204" customFormat="1" ht="21" customHeight="1">
      <c r="A138" s="203">
        <v>136</v>
      </c>
      <c r="B138" s="204" t="s">
        <v>296</v>
      </c>
      <c r="D138" s="203">
        <v>10</v>
      </c>
      <c r="E138" s="203">
        <v>40</v>
      </c>
      <c r="F138" s="204" t="s">
        <v>319</v>
      </c>
      <c r="G138" s="205">
        <v>80</v>
      </c>
      <c r="H138" s="205">
        <v>500</v>
      </c>
      <c r="I138" s="205">
        <f ca="1">RANDBETWEEN(13,39)</f>
        <v>13</v>
      </c>
      <c r="J138" s="204" t="str">
        <f ca="1">IF(RANDBETWEEN(1,100)&lt;=80,LOOKUP(I138,'Gem types'!$B$15:$B$41,'Gem types'!$C$15:$C$41),"none")</f>
        <v>Bloodstone</v>
      </c>
      <c r="K138" s="101" t="str">
        <f>IF(I138=0,"",LOOKUP(I138,'Gem types'!$B$3:$B$55,'Gem types'!$D$3:$D$55))</f>
        <v>dark gray with red flecks</v>
      </c>
      <c r="L138" s="101" t="str">
        <f>IF(I138=0,"",LOOKUP(I138,'Gem types'!$B$3:$B$55,'Gem types'!$F$3:$F$55))</f>
        <v>weather control</v>
      </c>
      <c r="M138" s="101" t="s">
        <v>13</v>
      </c>
      <c r="N138" s="203"/>
      <c r="O138" s="203"/>
      <c r="P138" s="203"/>
      <c r="Q138" s="203"/>
    </row>
    <row r="139" spans="1:17" s="204" customFormat="1" ht="21" customHeight="1">
      <c r="A139" s="203">
        <v>137</v>
      </c>
      <c r="B139" s="204" t="s">
        <v>297</v>
      </c>
      <c r="D139" s="203">
        <v>20</v>
      </c>
      <c r="E139" s="203">
        <v>80</v>
      </c>
      <c r="F139" s="204" t="s">
        <v>320</v>
      </c>
      <c r="G139" s="205">
        <v>500</v>
      </c>
      <c r="H139" s="205">
        <v>5000</v>
      </c>
      <c r="I139" s="205">
        <f ca="1">RANDBETWEEN(25,53)</f>
        <v>53</v>
      </c>
      <c r="J139" s="204" t="str">
        <f>LOOKUP(I139,'Gem types'!$B$27:$B$55,'Gem types'!$C$27:$C$55)</f>
        <v>Star Sapphire</v>
      </c>
      <c r="K139" s="101" t="str">
        <f>IF(I139=0,"",LOOKUP(I139,'Gem types'!$B$3:$B$55,'Gem types'!$D$3:$D$55))</f>
        <v>translucent sapphire with white "star" center</v>
      </c>
      <c r="L139" s="101" t="str">
        <f>IF(I139=0,"",LOOKUP(I139,'Gem types'!$B$3:$B$55,'Gem types'!$F$3:$F$55))</f>
        <v>protection from magic</v>
      </c>
      <c r="M139" s="101" t="s">
        <v>13</v>
      </c>
      <c r="N139" s="203"/>
      <c r="O139" s="203"/>
      <c r="P139" s="203"/>
      <c r="Q139" s="203"/>
    </row>
    <row r="140" spans="1:17" s="204" customFormat="1" ht="21" customHeight="1">
      <c r="A140" s="203">
        <v>138</v>
      </c>
      <c r="B140" s="204" t="s">
        <v>309</v>
      </c>
      <c r="D140" s="203">
        <v>0</v>
      </c>
      <c r="E140" s="203">
        <v>0</v>
      </c>
      <c r="F140" s="204" t="s">
        <v>311</v>
      </c>
      <c r="G140" s="205">
        <v>1</v>
      </c>
      <c r="H140" s="205">
        <v>1</v>
      </c>
      <c r="I140" s="205">
        <v>0</v>
      </c>
      <c r="J140" s="204" t="s">
        <v>67</v>
      </c>
      <c r="K140" s="101">
        <f>IF(I140=0,"",LOOKUP(I140,'Gem types'!$B$3:$B$55,'Gem types'!$D$3:$D$55))</f>
      </c>
      <c r="L140" s="101">
        <f>IF(I140=0,"",LOOKUP(I140,'Gem types'!$B$3:$B$55,'Gem types'!$F$3:$F$55))</f>
      </c>
      <c r="M140" s="101" t="s">
        <v>20</v>
      </c>
      <c r="N140" s="203"/>
      <c r="O140" s="203"/>
      <c r="P140" s="203"/>
      <c r="Q140" s="203"/>
    </row>
    <row r="141" spans="1:17" s="204" customFormat="1" ht="21" customHeight="1">
      <c r="A141" s="203">
        <v>139</v>
      </c>
      <c r="B141" s="204" t="s">
        <v>309</v>
      </c>
      <c r="D141" s="203">
        <v>0</v>
      </c>
      <c r="E141" s="203">
        <v>0</v>
      </c>
      <c r="F141" s="204" t="s">
        <v>312</v>
      </c>
      <c r="G141" s="205">
        <v>1</v>
      </c>
      <c r="H141" s="205">
        <v>2</v>
      </c>
      <c r="I141" s="205">
        <v>0</v>
      </c>
      <c r="J141" s="204" t="s">
        <v>67</v>
      </c>
      <c r="K141" s="101">
        <f>IF(I141=0,"",LOOKUP(I141,'Gem types'!$B$3:$B$55,'Gem types'!$D$3:$D$55))</f>
      </c>
      <c r="L141" s="101">
        <f>IF(I141=0,"",LOOKUP(I141,'Gem types'!$B$3:$B$55,'Gem types'!$F$3:$F$55))</f>
      </c>
      <c r="M141" s="101" t="s">
        <v>20</v>
      </c>
      <c r="N141" s="203"/>
      <c r="O141" s="203"/>
      <c r="P141" s="203"/>
      <c r="Q141" s="203"/>
    </row>
    <row r="142" spans="1:17" s="204" customFormat="1" ht="21" customHeight="1">
      <c r="A142" s="203">
        <v>140</v>
      </c>
      <c r="B142" s="204" t="s">
        <v>309</v>
      </c>
      <c r="D142" s="203">
        <v>0</v>
      </c>
      <c r="E142" s="203">
        <v>0</v>
      </c>
      <c r="F142" s="204" t="s">
        <v>313</v>
      </c>
      <c r="G142" s="205">
        <v>1</v>
      </c>
      <c r="H142" s="205">
        <v>3</v>
      </c>
      <c r="I142" s="205">
        <v>0</v>
      </c>
      <c r="J142" s="204" t="s">
        <v>67</v>
      </c>
      <c r="K142" s="101">
        <f>IF(I142=0,"",LOOKUP(I142,'Gem types'!$B$3:$B$55,'Gem types'!$D$3:$D$55))</f>
      </c>
      <c r="L142" s="101">
        <f>IF(I142=0,"",LOOKUP(I142,'Gem types'!$B$3:$B$55,'Gem types'!$F$3:$F$55))</f>
      </c>
      <c r="M142" s="101" t="s">
        <v>20</v>
      </c>
      <c r="N142" s="203"/>
      <c r="O142" s="203"/>
      <c r="P142" s="203"/>
      <c r="Q142" s="203"/>
    </row>
    <row r="143" spans="1:17" s="204" customFormat="1" ht="21" customHeight="1">
      <c r="A143" s="203">
        <v>141</v>
      </c>
      <c r="B143" s="204" t="s">
        <v>309</v>
      </c>
      <c r="D143" s="203">
        <v>0</v>
      </c>
      <c r="E143" s="203">
        <v>0</v>
      </c>
      <c r="F143" s="204" t="s">
        <v>314</v>
      </c>
      <c r="G143" s="205">
        <v>1</v>
      </c>
      <c r="H143" s="205">
        <v>4</v>
      </c>
      <c r="I143" s="205">
        <v>0</v>
      </c>
      <c r="J143" s="204" t="s">
        <v>67</v>
      </c>
      <c r="K143" s="101">
        <f>IF(I143=0,"",LOOKUP(I143,'Gem types'!$B$3:$B$55,'Gem types'!$D$3:$D$55))</f>
      </c>
      <c r="L143" s="101">
        <f>IF(I143=0,"",LOOKUP(I143,'Gem types'!$B$3:$B$55,'Gem types'!$F$3:$F$55))</f>
      </c>
      <c r="M143" s="101" t="s">
        <v>20</v>
      </c>
      <c r="N143" s="203"/>
      <c r="O143" s="203"/>
      <c r="P143" s="203"/>
      <c r="Q143" s="203"/>
    </row>
    <row r="144" spans="1:17" s="204" customFormat="1" ht="21" customHeight="1">
      <c r="A144" s="203">
        <v>142</v>
      </c>
      <c r="B144" s="204" t="s">
        <v>309</v>
      </c>
      <c r="D144" s="203">
        <v>0</v>
      </c>
      <c r="E144" s="203">
        <v>0</v>
      </c>
      <c r="F144" s="204" t="s">
        <v>315</v>
      </c>
      <c r="G144" s="205">
        <v>1</v>
      </c>
      <c r="H144" s="205">
        <v>5</v>
      </c>
      <c r="I144" s="205">
        <v>0</v>
      </c>
      <c r="J144" s="204" t="s">
        <v>67</v>
      </c>
      <c r="K144" s="101">
        <f>IF(I144=0,"",LOOKUP(I144,'Gem types'!$B$3:$B$55,'Gem types'!$D$3:$D$55))</f>
      </c>
      <c r="L144" s="101">
        <f>IF(I144=0,"",LOOKUP(I144,'Gem types'!$B$3:$B$55,'Gem types'!$F$3:$F$55))</f>
      </c>
      <c r="M144" s="101" t="s">
        <v>20</v>
      </c>
      <c r="N144" s="203"/>
      <c r="O144" s="203"/>
      <c r="P144" s="203"/>
      <c r="Q144" s="203"/>
    </row>
    <row r="145" spans="1:17" s="204" customFormat="1" ht="21" customHeight="1">
      <c r="A145" s="203">
        <v>143</v>
      </c>
      <c r="B145" s="204" t="s">
        <v>309</v>
      </c>
      <c r="D145" s="203">
        <v>0</v>
      </c>
      <c r="E145" s="203">
        <v>0</v>
      </c>
      <c r="F145" s="204" t="s">
        <v>335</v>
      </c>
      <c r="G145" s="205">
        <v>2</v>
      </c>
      <c r="H145" s="205">
        <v>8</v>
      </c>
      <c r="I145" s="205">
        <v>0</v>
      </c>
      <c r="J145" s="204" t="s">
        <v>67</v>
      </c>
      <c r="K145" s="101">
        <f>IF(I145=0,"",LOOKUP(I145,'Gem types'!$B$3:$B$55,'Gem types'!$D$3:$D$55))</f>
      </c>
      <c r="L145" s="101">
        <f>IF(I145=0,"",LOOKUP(I145,'Gem types'!$B$3:$B$55,'Gem types'!$F$3:$F$55))</f>
      </c>
      <c r="M145" s="101" t="s">
        <v>20</v>
      </c>
      <c r="N145" s="203"/>
      <c r="O145" s="203"/>
      <c r="P145" s="203"/>
      <c r="Q145" s="203"/>
    </row>
    <row r="146" spans="1:17" s="204" customFormat="1" ht="21" customHeight="1">
      <c r="A146" s="203">
        <v>144</v>
      </c>
      <c r="B146" s="204" t="s">
        <v>309</v>
      </c>
      <c r="D146" s="203">
        <v>0</v>
      </c>
      <c r="E146" s="203">
        <v>0</v>
      </c>
      <c r="F146" s="204" t="s">
        <v>322</v>
      </c>
      <c r="G146" s="205">
        <v>2</v>
      </c>
      <c r="H146" s="205">
        <v>12</v>
      </c>
      <c r="I146" s="205">
        <v>0</v>
      </c>
      <c r="J146" s="204" t="s">
        <v>67</v>
      </c>
      <c r="K146" s="101">
        <f>IF(I146=0,"",LOOKUP(I146,'Gem types'!$B$3:$B$55,'Gem types'!$D$3:$D$55))</f>
      </c>
      <c r="L146" s="101">
        <f>IF(I146=0,"",LOOKUP(I146,'Gem types'!$B$3:$B$55,'Gem types'!$F$3:$F$55))</f>
      </c>
      <c r="M146" s="101" t="s">
        <v>20</v>
      </c>
      <c r="N146" s="203"/>
      <c r="O146" s="203"/>
      <c r="P146" s="203"/>
      <c r="Q146" s="203"/>
    </row>
    <row r="147" spans="1:17" s="204" customFormat="1" ht="21" customHeight="1">
      <c r="A147" s="203">
        <v>145</v>
      </c>
      <c r="B147" s="204" t="s">
        <v>309</v>
      </c>
      <c r="D147" s="203">
        <v>0</v>
      </c>
      <c r="E147" s="203">
        <v>0</v>
      </c>
      <c r="F147" s="204" t="s">
        <v>321</v>
      </c>
      <c r="G147" s="205">
        <v>3</v>
      </c>
      <c r="H147" s="205">
        <v>18</v>
      </c>
      <c r="I147" s="205">
        <v>0</v>
      </c>
      <c r="J147" s="204" t="s">
        <v>67</v>
      </c>
      <c r="K147" s="101">
        <f>IF(I147=0,"",LOOKUP(I147,'Gem types'!$B$3:$B$55,'Gem types'!$D$3:$D$55))</f>
      </c>
      <c r="L147" s="101">
        <f>IF(I147=0,"",LOOKUP(I147,'Gem types'!$B$3:$B$55,'Gem types'!$F$3:$F$55))</f>
      </c>
      <c r="M147" s="101" t="s">
        <v>20</v>
      </c>
      <c r="N147" s="203"/>
      <c r="O147" s="203"/>
      <c r="P147" s="203"/>
      <c r="Q147" s="203"/>
    </row>
    <row r="148" spans="1:17" s="204" customFormat="1" ht="21" customHeight="1">
      <c r="A148" s="203">
        <v>146</v>
      </c>
      <c r="B148" s="204" t="s">
        <v>309</v>
      </c>
      <c r="D148" s="203">
        <v>0</v>
      </c>
      <c r="E148" s="203">
        <v>0</v>
      </c>
      <c r="F148" s="204" t="s">
        <v>323</v>
      </c>
      <c r="G148" s="205">
        <v>4</v>
      </c>
      <c r="H148" s="205">
        <v>24</v>
      </c>
      <c r="I148" s="205">
        <v>0</v>
      </c>
      <c r="J148" s="204" t="s">
        <v>67</v>
      </c>
      <c r="K148" s="101">
        <f>IF(I148=0,"",LOOKUP(I148,'Gem types'!$B$3:$B$55,'Gem types'!$D$3:$D$55))</f>
      </c>
      <c r="L148" s="101">
        <f>IF(I148=0,"",LOOKUP(I148,'Gem types'!$B$3:$B$55,'Gem types'!$F$3:$F$55))</f>
      </c>
      <c r="M148" s="101" t="s">
        <v>20</v>
      </c>
      <c r="N148" s="203"/>
      <c r="O148" s="203"/>
      <c r="P148" s="203"/>
      <c r="Q148" s="203"/>
    </row>
    <row r="149" spans="1:17" s="204" customFormat="1" ht="21" customHeight="1">
      <c r="A149" s="203">
        <v>147</v>
      </c>
      <c r="B149" s="204" t="s">
        <v>309</v>
      </c>
      <c r="D149" s="203">
        <v>0</v>
      </c>
      <c r="E149" s="203">
        <v>0</v>
      </c>
      <c r="F149" s="204" t="s">
        <v>316</v>
      </c>
      <c r="G149" s="205">
        <v>5</v>
      </c>
      <c r="H149" s="205">
        <v>30</v>
      </c>
      <c r="I149" s="205">
        <v>0</v>
      </c>
      <c r="J149" s="204" t="s">
        <v>67</v>
      </c>
      <c r="K149" s="101">
        <f>IF(I149=0,"",LOOKUP(I149,'Gem types'!$B$3:$B$55,'Gem types'!$D$3:$D$55))</f>
      </c>
      <c r="L149" s="101">
        <f>IF(I149=0,"",LOOKUP(I149,'Gem types'!$B$3:$B$55,'Gem types'!$F$3:$F$55))</f>
      </c>
      <c r="M149" s="101" t="s">
        <v>20</v>
      </c>
      <c r="N149" s="203"/>
      <c r="O149" s="203"/>
      <c r="P149" s="203"/>
      <c r="Q149" s="203"/>
    </row>
    <row r="150" spans="1:17" s="204" customFormat="1" ht="21" customHeight="1">
      <c r="A150" s="203">
        <v>148</v>
      </c>
      <c r="B150" s="204" t="s">
        <v>298</v>
      </c>
      <c r="D150" s="203">
        <v>0</v>
      </c>
      <c r="E150" s="203">
        <v>0</v>
      </c>
      <c r="F150" s="204" t="s">
        <v>321</v>
      </c>
      <c r="G150" s="205">
        <v>4</v>
      </c>
      <c r="H150" s="205">
        <v>40</v>
      </c>
      <c r="I150" s="205">
        <f ca="1">RANDBETWEEN(1,24)</f>
        <v>17</v>
      </c>
      <c r="J150" s="204" t="str">
        <f ca="1">IF(RANDBETWEEN(1,100)&lt;=40,LOOKUP(I150,'Gem types'!$B$3:$B$26,'Gem types'!$C$3:$C$26),"none")</f>
        <v>Jasper</v>
      </c>
      <c r="K150" s="101" t="str">
        <f>IF(I150=0,"",LOOKUP(I150,'Gem types'!$B$3:$B$55,'Gem types'!$D$3:$D$55))</f>
        <v>blue, black to brown</v>
      </c>
      <c r="L150" s="101" t="str">
        <f>IF(I150=0,"",LOOKUP(I150,'Gem types'!$B$3:$B$55,'Gem types'!$F$3:$F$55))</f>
        <v>protection from venom</v>
      </c>
      <c r="M150" s="101" t="s">
        <v>20</v>
      </c>
      <c r="N150" s="203"/>
      <c r="O150" s="203"/>
      <c r="P150" s="203"/>
      <c r="Q150" s="203"/>
    </row>
    <row r="151" spans="1:17" s="204" customFormat="1" ht="21" customHeight="1">
      <c r="A151" s="203">
        <v>149</v>
      </c>
      <c r="B151" s="204" t="s">
        <v>298</v>
      </c>
      <c r="D151" s="203">
        <v>0</v>
      </c>
      <c r="E151" s="203">
        <v>0</v>
      </c>
      <c r="F151" s="204" t="s">
        <v>316</v>
      </c>
      <c r="G151" s="205">
        <v>10</v>
      </c>
      <c r="H151" s="205">
        <v>60</v>
      </c>
      <c r="I151" s="205">
        <f ca="1">RANDBETWEEN(1,24)</f>
        <v>5</v>
      </c>
      <c r="J151" s="204" t="str">
        <f ca="1">IF(RANDBETWEEN(1,100)&lt;=40,LOOKUP(I151,'Gem types'!$B$3:$B$26,'Gem types'!$C$3:$C$26),"none")</f>
        <v>none</v>
      </c>
      <c r="K151" s="101" t="str">
        <f>IF(I151=0,"",LOOKUP(I151,'Gem types'!$B$3:$B$55,'Gem types'!$D$3:$D$55))</f>
        <v>gray-black</v>
      </c>
      <c r="L151" s="101" t="str">
        <f>IF(I151=0,"",LOOKUP(I151,'Gem types'!$B$3:$B$55,'Gem types'!$F$3:$F$55))</f>
        <v>aids fighters, heals wounds</v>
      </c>
      <c r="M151" s="101" t="s">
        <v>20</v>
      </c>
      <c r="N151" s="203"/>
      <c r="O151" s="203"/>
      <c r="P151" s="203"/>
      <c r="Q151" s="203"/>
    </row>
    <row r="152" spans="1:17" s="204" customFormat="1" ht="21" customHeight="1">
      <c r="A152" s="203">
        <v>150</v>
      </c>
      <c r="B152" s="204" t="s">
        <v>298</v>
      </c>
      <c r="D152" s="203">
        <v>0</v>
      </c>
      <c r="E152" s="203">
        <v>0</v>
      </c>
      <c r="F152" s="204" t="s">
        <v>317</v>
      </c>
      <c r="G152" s="205">
        <v>10</v>
      </c>
      <c r="H152" s="205">
        <v>80</v>
      </c>
      <c r="I152" s="205">
        <f ca="1">RANDBETWEEN(1,24)</f>
        <v>2</v>
      </c>
      <c r="J152" s="204" t="str">
        <f ca="1">IF(RANDBETWEEN(1,100)&lt;=40,LOOKUP(I152,'Gem types'!$B$3:$B$26,'Gem types'!$C$3:$C$26),"none")</f>
        <v>Banded Agate</v>
      </c>
      <c r="K152" s="101" t="str">
        <f>IF(I152=0,"",LOOKUP(I152,'Gem types'!$B$3:$B$55,'Gem types'!$D$3:$D$55))</f>
        <v>stripped brown, blue, white, reddish</v>
      </c>
      <c r="L152" s="101" t="str">
        <f>IF(I152=0,"",LOOKUP(I152,'Gem types'!$B$3:$B$55,'Gem types'!$F$3:$F$55))</f>
        <v>induces sleep accompanied by visions</v>
      </c>
      <c r="M152" s="101" t="s">
        <v>20</v>
      </c>
      <c r="N152" s="203"/>
      <c r="O152" s="203"/>
      <c r="P152" s="203"/>
      <c r="Q152" s="203"/>
    </row>
    <row r="153" spans="1:17" s="204" customFormat="1" ht="21" customHeight="1">
      <c r="A153" s="203">
        <v>151</v>
      </c>
      <c r="B153" s="204" t="s">
        <v>298</v>
      </c>
      <c r="D153" s="203">
        <v>0</v>
      </c>
      <c r="E153" s="203">
        <v>0</v>
      </c>
      <c r="F153" s="204" t="s">
        <v>318</v>
      </c>
      <c r="G153" s="205">
        <v>20</v>
      </c>
      <c r="H153" s="205">
        <v>120</v>
      </c>
      <c r="I153" s="205">
        <f ca="1">RANDBETWEEN(1,24)</f>
        <v>9</v>
      </c>
      <c r="J153" s="204" t="str">
        <f ca="1">IF(RANDBETWEEN(1,100)&lt;=40,LOOKUP(I153,'Gem types'!$B$3:$B$26,'Gem types'!$C$3:$C$26),"none")</f>
        <v>none</v>
      </c>
      <c r="K153" s="101" t="str">
        <f>IF(I153=0,"",LOOKUP(I153,'Gem types'!$B$3:$B$55,'Gem types'!$D$3:$D$55))</f>
        <v>black</v>
      </c>
      <c r="L153" s="101" t="str">
        <f>IF(I153=0,"",LOOKUP(I153,'Gem types'!$B$3:$B$55,'Gem types'!$F$3:$F$55))</f>
        <v>protection from good</v>
      </c>
      <c r="M153" s="101" t="s">
        <v>20</v>
      </c>
      <c r="N153" s="203"/>
      <c r="O153" s="203"/>
      <c r="P153" s="203"/>
      <c r="Q153" s="203"/>
    </row>
    <row r="154" spans="1:17" s="204" customFormat="1" ht="21" customHeight="1">
      <c r="A154" s="203">
        <v>152</v>
      </c>
      <c r="B154" s="204" t="s">
        <v>298</v>
      </c>
      <c r="D154" s="203">
        <v>0</v>
      </c>
      <c r="E154" s="203">
        <v>0</v>
      </c>
      <c r="F154" s="204" t="s">
        <v>319</v>
      </c>
      <c r="G154" s="205">
        <v>30</v>
      </c>
      <c r="H154" s="205">
        <v>180</v>
      </c>
      <c r="I154" s="205">
        <f ca="1">RANDBETWEEN(1,24)</f>
        <v>4</v>
      </c>
      <c r="J154" s="204" t="str">
        <f ca="1">IF(RANDBETWEEN(1,100)&lt;=40,LOOKUP(I154,'Gem types'!$B$3:$B$26,'Gem types'!$C$3:$C$26),"none")</f>
        <v>none</v>
      </c>
      <c r="K154" s="101" t="str">
        <f>IF(I154=0,"",LOOKUP(I154,'Gem types'!$B$3:$B$55,'Gem types'!$D$3:$D$55))</f>
        <v>circles of gray, white, brown, blue, and/or green</v>
      </c>
      <c r="L154" s="101" t="str">
        <f>IF(I154=0,"",LOOKUP(I154,'Gem types'!$B$3:$B$55,'Gem types'!$F$3:$F$55))</f>
        <v>induces restful sleep</v>
      </c>
      <c r="M154" s="101" t="s">
        <v>20</v>
      </c>
      <c r="N154" s="203"/>
      <c r="O154" s="203"/>
      <c r="P154" s="203"/>
      <c r="Q154" s="203"/>
    </row>
    <row r="155" spans="1:17" s="204" customFormat="1" ht="21" customHeight="1">
      <c r="A155" s="203">
        <v>153</v>
      </c>
      <c r="B155" s="204" t="s">
        <v>299</v>
      </c>
      <c r="D155" s="203">
        <v>1</v>
      </c>
      <c r="E155" s="203">
        <v>8</v>
      </c>
      <c r="F155" s="204" t="s">
        <v>317</v>
      </c>
      <c r="G155" s="205">
        <v>40</v>
      </c>
      <c r="H155" s="205">
        <v>240</v>
      </c>
      <c r="I155" s="205">
        <f ca="1">RANDBETWEEN(13,39)</f>
        <v>18</v>
      </c>
      <c r="J155" s="204" t="str">
        <f ca="1">IF(RANDBETWEEN(1,100)&lt;=80,LOOKUP(I155,'Gem types'!$B$15:$B$41,'Gem types'!$C$15:$C$41),"none")</f>
        <v>Moonstone</v>
      </c>
      <c r="K155" s="101" t="str">
        <f>IF(I155=0,"",LOOKUP(I155,'Gem types'!$B$3:$B$55,'Gem types'!$D$3:$D$55))</f>
        <v>white with pale blue glow</v>
      </c>
      <c r="L155" s="101" t="str">
        <f>IF(I155=0,"",LOOKUP(I155,'Gem types'!$B$3:$B$55,'Gem types'!$F$3:$F$55))</f>
        <v>causes lycanthropy</v>
      </c>
      <c r="M155" s="101" t="s">
        <v>20</v>
      </c>
      <c r="N155" s="203"/>
      <c r="O155" s="203"/>
      <c r="P155" s="203"/>
      <c r="Q155" s="203"/>
    </row>
    <row r="156" spans="1:17" s="204" customFormat="1" ht="21" customHeight="1">
      <c r="A156" s="203">
        <v>154</v>
      </c>
      <c r="B156" s="204" t="s">
        <v>299</v>
      </c>
      <c r="D156" s="203">
        <v>1</v>
      </c>
      <c r="E156" s="203">
        <v>8</v>
      </c>
      <c r="F156" s="204" t="s">
        <v>318</v>
      </c>
      <c r="G156" s="205">
        <v>50</v>
      </c>
      <c r="H156" s="205">
        <v>400</v>
      </c>
      <c r="I156" s="205">
        <f ca="1">RANDBETWEEN(13,39)</f>
        <v>26</v>
      </c>
      <c r="J156" s="204" t="str">
        <f ca="1">IF(RANDBETWEEN(1,100)&lt;=80,LOOKUP(I156,'Gem types'!$B$15:$B$41,'Gem types'!$C$15:$C$41),"none")</f>
        <v>Alexandrite</v>
      </c>
      <c r="K156" s="101" t="str">
        <f>IF(I156=0,"",LOOKUP(I156,'Gem types'!$B$3:$B$55,'Gem types'!$D$3:$D$55))</f>
        <v>dark green</v>
      </c>
      <c r="L156" s="101" t="str">
        <f>IF(I156=0,"",LOOKUP(I156,'Gem types'!$B$3:$B$55,'Gem types'!$F$3:$F$55))</f>
        <v>good omens</v>
      </c>
      <c r="M156" s="101" t="s">
        <v>20</v>
      </c>
      <c r="N156" s="203"/>
      <c r="O156" s="203"/>
      <c r="P156" s="203"/>
      <c r="Q156" s="203"/>
    </row>
    <row r="157" spans="1:17" s="204" customFormat="1" ht="21" customHeight="1">
      <c r="A157" s="203">
        <v>155</v>
      </c>
      <c r="B157" s="204" t="s">
        <v>299</v>
      </c>
      <c r="D157" s="203">
        <v>1</v>
      </c>
      <c r="E157" s="203">
        <v>8</v>
      </c>
      <c r="F157" s="204" t="s">
        <v>319</v>
      </c>
      <c r="G157" s="205">
        <v>80</v>
      </c>
      <c r="H157" s="205">
        <v>500</v>
      </c>
      <c r="I157" s="205">
        <f ca="1">RANDBETWEEN(13,39)</f>
        <v>27</v>
      </c>
      <c r="J157" s="204" t="str">
        <f ca="1">IF(RANDBETWEEN(1,100)&lt;=80,LOOKUP(I157,'Gem types'!$B$15:$B$41,'Gem types'!$C$15:$C$41),"none")</f>
        <v>Amethyst</v>
      </c>
      <c r="K157" s="101" t="str">
        <f>IF(I157=0,"",LOOKUP(I157,'Gem types'!$B$3:$B$55,'Gem types'!$D$3:$D$55))</f>
        <v>deep purple</v>
      </c>
      <c r="L157" s="101" t="str">
        <f>IF(I157=0,"",LOOKUP(I157,'Gem types'!$B$3:$B$55,'Gem types'!$F$3:$F$55))</f>
        <v>prevents drunkeness or drugging</v>
      </c>
      <c r="M157" s="101" t="s">
        <v>20</v>
      </c>
      <c r="N157" s="203"/>
      <c r="O157" s="203"/>
      <c r="P157" s="203"/>
      <c r="Q157" s="203"/>
    </row>
    <row r="158" spans="1:17" s="204" customFormat="1" ht="21" customHeight="1">
      <c r="A158" s="203">
        <v>156</v>
      </c>
      <c r="B158" s="204" t="s">
        <v>300</v>
      </c>
      <c r="D158" s="203">
        <v>3</v>
      </c>
      <c r="E158" s="203">
        <v>9</v>
      </c>
      <c r="F158" s="204" t="s">
        <v>320</v>
      </c>
      <c r="G158" s="205">
        <v>200</v>
      </c>
      <c r="H158" s="205">
        <v>2000</v>
      </c>
      <c r="I158" s="205">
        <f ca="1">RANDBETWEEN(25,53)</f>
        <v>38</v>
      </c>
      <c r="J158" s="204" t="str">
        <f>LOOKUP(I158,'Gem types'!$B$27:$B$55,'Gem types'!$C$27:$C$55)</f>
        <v>Topaz</v>
      </c>
      <c r="K158" s="101" t="str">
        <f>IF(I158=0,"",LOOKUP(I158,'Gem types'!$B$3:$B$55,'Gem types'!$D$3:$D$55))</f>
        <v>golden yellow</v>
      </c>
      <c r="L158" s="101" t="str">
        <f>IF(I158=0,"",LOOKUP(I158,'Gem types'!$B$3:$B$55,'Gem types'!$F$3:$F$55))</f>
        <v>wards off evil spells</v>
      </c>
      <c r="M158" s="101" t="s">
        <v>20</v>
      </c>
      <c r="N158" s="203"/>
      <c r="O158" s="203"/>
      <c r="P158" s="203"/>
      <c r="Q158" s="203"/>
    </row>
    <row r="159" spans="1:17" s="204" customFormat="1" ht="21" customHeight="1">
      <c r="A159" s="203">
        <v>157</v>
      </c>
      <c r="B159" s="204" t="s">
        <v>308</v>
      </c>
      <c r="D159" s="203">
        <v>0</v>
      </c>
      <c r="E159" s="203">
        <v>0</v>
      </c>
      <c r="F159" s="204" t="s">
        <v>311</v>
      </c>
      <c r="G159" s="205">
        <v>1</v>
      </c>
      <c r="H159" s="205">
        <v>1</v>
      </c>
      <c r="I159" s="205">
        <v>0</v>
      </c>
      <c r="J159" s="204" t="s">
        <v>67</v>
      </c>
      <c r="K159" s="101">
        <f>IF(I159=0,"",LOOKUP(I159,'Gem types'!$B$3:$B$55,'Gem types'!$D$3:$D$55))</f>
      </c>
      <c r="L159" s="101">
        <f>IF(I159=0,"",LOOKUP(I159,'Gem types'!$B$3:$B$55,'Gem types'!$F$3:$F$55))</f>
      </c>
      <c r="M159" s="101" t="s">
        <v>11</v>
      </c>
      <c r="N159" s="203"/>
      <c r="O159" s="203"/>
      <c r="P159" s="203"/>
      <c r="Q159" s="203"/>
    </row>
    <row r="160" spans="1:17" s="204" customFormat="1" ht="21" customHeight="1">
      <c r="A160" s="203">
        <v>158</v>
      </c>
      <c r="B160" s="204" t="s">
        <v>308</v>
      </c>
      <c r="D160" s="203">
        <v>0</v>
      </c>
      <c r="E160" s="203">
        <v>0</v>
      </c>
      <c r="F160" s="204" t="s">
        <v>312</v>
      </c>
      <c r="G160" s="205">
        <v>1</v>
      </c>
      <c r="H160" s="205">
        <v>2</v>
      </c>
      <c r="I160" s="205">
        <v>0</v>
      </c>
      <c r="J160" s="204" t="s">
        <v>67</v>
      </c>
      <c r="K160" s="101">
        <f>IF(I160=0,"",LOOKUP(I160,'Gem types'!$B$3:$B$55,'Gem types'!$D$3:$D$55))</f>
      </c>
      <c r="L160" s="101">
        <f>IF(I160=0,"",LOOKUP(I160,'Gem types'!$B$3:$B$55,'Gem types'!$F$3:$F$55))</f>
      </c>
      <c r="M160" s="101" t="s">
        <v>12</v>
      </c>
      <c r="N160" s="203"/>
      <c r="O160" s="203"/>
      <c r="P160" s="203"/>
      <c r="Q160" s="203"/>
    </row>
    <row r="161" spans="1:17" s="204" customFormat="1" ht="21" customHeight="1">
      <c r="A161" s="203">
        <v>159</v>
      </c>
      <c r="B161" s="204" t="s">
        <v>308</v>
      </c>
      <c r="D161" s="203">
        <v>0</v>
      </c>
      <c r="E161" s="203">
        <v>0</v>
      </c>
      <c r="F161" s="204" t="s">
        <v>313</v>
      </c>
      <c r="G161" s="205">
        <v>1</v>
      </c>
      <c r="H161" s="205">
        <v>3</v>
      </c>
      <c r="I161" s="205">
        <v>0</v>
      </c>
      <c r="J161" s="204" t="s">
        <v>67</v>
      </c>
      <c r="K161" s="101">
        <f>IF(I161=0,"",LOOKUP(I161,'Gem types'!$B$3:$B$55,'Gem types'!$D$3:$D$55))</f>
      </c>
      <c r="L161" s="101">
        <f>IF(I161=0,"",LOOKUP(I161,'Gem types'!$B$3:$B$55,'Gem types'!$F$3:$F$55))</f>
      </c>
      <c r="M161" s="101" t="s">
        <v>11</v>
      </c>
      <c r="N161" s="203"/>
      <c r="O161" s="203"/>
      <c r="P161" s="203"/>
      <c r="Q161" s="203"/>
    </row>
    <row r="162" spans="1:17" s="204" customFormat="1" ht="21" customHeight="1">
      <c r="A162" s="203">
        <v>160</v>
      </c>
      <c r="B162" s="204" t="s">
        <v>308</v>
      </c>
      <c r="D162" s="203">
        <v>0</v>
      </c>
      <c r="E162" s="203">
        <v>0</v>
      </c>
      <c r="F162" s="204" t="s">
        <v>314</v>
      </c>
      <c r="G162" s="205">
        <v>1</v>
      </c>
      <c r="H162" s="205">
        <v>4</v>
      </c>
      <c r="I162" s="205">
        <v>0</v>
      </c>
      <c r="J162" s="204" t="s">
        <v>67</v>
      </c>
      <c r="K162" s="101">
        <f>IF(I162=0,"",LOOKUP(I162,'Gem types'!$B$3:$B$55,'Gem types'!$D$3:$D$55))</f>
      </c>
      <c r="L162" s="101">
        <f>IF(I162=0,"",LOOKUP(I162,'Gem types'!$B$3:$B$55,'Gem types'!$F$3:$F$55))</f>
      </c>
      <c r="M162" s="101" t="s">
        <v>12</v>
      </c>
      <c r="N162" s="203"/>
      <c r="O162" s="203"/>
      <c r="P162" s="203"/>
      <c r="Q162" s="203"/>
    </row>
    <row r="163" spans="1:17" s="204" customFormat="1" ht="21" customHeight="1">
      <c r="A163" s="203">
        <v>161</v>
      </c>
      <c r="B163" s="204" t="s">
        <v>308</v>
      </c>
      <c r="D163" s="203">
        <v>0</v>
      </c>
      <c r="E163" s="203">
        <v>0</v>
      </c>
      <c r="F163" s="204" t="s">
        <v>315</v>
      </c>
      <c r="G163" s="205">
        <v>1</v>
      </c>
      <c r="H163" s="205">
        <v>5</v>
      </c>
      <c r="I163" s="205">
        <v>0</v>
      </c>
      <c r="J163" s="204" t="s">
        <v>67</v>
      </c>
      <c r="K163" s="101">
        <f>IF(I163=0,"",LOOKUP(I163,'Gem types'!$B$3:$B$55,'Gem types'!$D$3:$D$55))</f>
      </c>
      <c r="L163" s="101">
        <f>IF(I163=0,"",LOOKUP(I163,'Gem types'!$B$3:$B$55,'Gem types'!$F$3:$F$55))</f>
      </c>
      <c r="M163" s="101" t="s">
        <v>11</v>
      </c>
      <c r="N163" s="203"/>
      <c r="O163" s="203"/>
      <c r="P163" s="203"/>
      <c r="Q163" s="203"/>
    </row>
    <row r="164" spans="1:17" s="204" customFormat="1" ht="21" customHeight="1">
      <c r="A164" s="203">
        <v>162</v>
      </c>
      <c r="B164" s="204" t="s">
        <v>308</v>
      </c>
      <c r="D164" s="203">
        <v>0</v>
      </c>
      <c r="E164" s="203">
        <v>0</v>
      </c>
      <c r="F164" s="204" t="s">
        <v>335</v>
      </c>
      <c r="G164" s="205">
        <v>2</v>
      </c>
      <c r="H164" s="205">
        <v>8</v>
      </c>
      <c r="I164" s="205">
        <v>0</v>
      </c>
      <c r="J164" s="204" t="s">
        <v>67</v>
      </c>
      <c r="K164" s="101">
        <f>IF(I164=0,"",LOOKUP(I164,'Gem types'!$B$3:$B$55,'Gem types'!$D$3:$D$55))</f>
      </c>
      <c r="L164" s="101">
        <f>IF(I164=0,"",LOOKUP(I164,'Gem types'!$B$3:$B$55,'Gem types'!$F$3:$F$55))</f>
      </c>
      <c r="M164" s="101" t="s">
        <v>12</v>
      </c>
      <c r="N164" s="203"/>
      <c r="O164" s="203"/>
      <c r="P164" s="203"/>
      <c r="Q164" s="203"/>
    </row>
    <row r="165" spans="1:17" s="204" customFormat="1" ht="21" customHeight="1">
      <c r="A165" s="203">
        <v>163</v>
      </c>
      <c r="B165" s="204" t="s">
        <v>308</v>
      </c>
      <c r="D165" s="203">
        <v>0</v>
      </c>
      <c r="E165" s="203">
        <v>0</v>
      </c>
      <c r="F165" s="204" t="s">
        <v>322</v>
      </c>
      <c r="G165" s="205">
        <v>2</v>
      </c>
      <c r="H165" s="205">
        <v>12</v>
      </c>
      <c r="I165" s="205">
        <v>0</v>
      </c>
      <c r="J165" s="204" t="s">
        <v>67</v>
      </c>
      <c r="K165" s="101">
        <f>IF(I165=0,"",LOOKUP(I165,'Gem types'!$B$3:$B$55,'Gem types'!$D$3:$D$55))</f>
      </c>
      <c r="L165" s="101">
        <f>IF(I165=0,"",LOOKUP(I165,'Gem types'!$B$3:$B$55,'Gem types'!$F$3:$F$55))</f>
      </c>
      <c r="M165" s="101" t="s">
        <v>11</v>
      </c>
      <c r="N165" s="203"/>
      <c r="O165" s="203"/>
      <c r="P165" s="203"/>
      <c r="Q165" s="203"/>
    </row>
    <row r="166" spans="1:17" s="204" customFormat="1" ht="21" customHeight="1">
      <c r="A166" s="203">
        <v>164</v>
      </c>
      <c r="B166" s="204" t="s">
        <v>308</v>
      </c>
      <c r="D166" s="203">
        <v>0</v>
      </c>
      <c r="E166" s="203">
        <v>0</v>
      </c>
      <c r="F166" s="204" t="s">
        <v>321</v>
      </c>
      <c r="G166" s="205">
        <v>3</v>
      </c>
      <c r="H166" s="205">
        <v>18</v>
      </c>
      <c r="I166" s="205">
        <v>0</v>
      </c>
      <c r="J166" s="204" t="s">
        <v>67</v>
      </c>
      <c r="K166" s="101">
        <f>IF(I166=0,"",LOOKUP(I166,'Gem types'!$B$3:$B$55,'Gem types'!$D$3:$D$55))</f>
      </c>
      <c r="L166" s="101">
        <f>IF(I166=0,"",LOOKUP(I166,'Gem types'!$B$3:$B$55,'Gem types'!$F$3:$F$55))</f>
      </c>
      <c r="M166" s="101" t="s">
        <v>12</v>
      </c>
      <c r="N166" s="203"/>
      <c r="O166" s="203"/>
      <c r="P166" s="203"/>
      <c r="Q166" s="203"/>
    </row>
    <row r="167" spans="1:17" s="204" customFormat="1" ht="21" customHeight="1">
      <c r="A167" s="203">
        <v>165</v>
      </c>
      <c r="B167" s="204" t="s">
        <v>308</v>
      </c>
      <c r="D167" s="203">
        <v>0</v>
      </c>
      <c r="E167" s="203">
        <v>0</v>
      </c>
      <c r="F167" s="204" t="s">
        <v>323</v>
      </c>
      <c r="G167" s="205">
        <v>4</v>
      </c>
      <c r="H167" s="205">
        <v>24</v>
      </c>
      <c r="I167" s="205">
        <v>0</v>
      </c>
      <c r="J167" s="204" t="s">
        <v>67</v>
      </c>
      <c r="K167" s="101">
        <f>IF(I167=0,"",LOOKUP(I167,'Gem types'!$B$3:$B$55,'Gem types'!$D$3:$D$55))</f>
      </c>
      <c r="L167" s="101">
        <f>IF(I167=0,"",LOOKUP(I167,'Gem types'!$B$3:$B$55,'Gem types'!$F$3:$F$55))</f>
      </c>
      <c r="M167" s="101" t="s">
        <v>11</v>
      </c>
      <c r="N167" s="203"/>
      <c r="O167" s="203"/>
      <c r="P167" s="203"/>
      <c r="Q167" s="203"/>
    </row>
    <row r="168" spans="1:17" s="204" customFormat="1" ht="21" customHeight="1">
      <c r="A168" s="203">
        <v>166</v>
      </c>
      <c r="B168" s="204" t="s">
        <v>308</v>
      </c>
      <c r="D168" s="203">
        <v>0</v>
      </c>
      <c r="E168" s="203">
        <v>0</v>
      </c>
      <c r="F168" s="204" t="s">
        <v>316</v>
      </c>
      <c r="G168" s="205">
        <v>5</v>
      </c>
      <c r="H168" s="205">
        <v>30</v>
      </c>
      <c r="I168" s="205">
        <v>0</v>
      </c>
      <c r="J168" s="204" t="s">
        <v>67</v>
      </c>
      <c r="K168" s="101">
        <f>IF(I168=0,"",LOOKUP(I168,'Gem types'!$B$3:$B$55,'Gem types'!$D$3:$D$55))</f>
      </c>
      <c r="L168" s="101">
        <f>IF(I168=0,"",LOOKUP(I168,'Gem types'!$B$3:$B$55,'Gem types'!$F$3:$F$55))</f>
      </c>
      <c r="M168" s="101" t="s">
        <v>12</v>
      </c>
      <c r="N168" s="203"/>
      <c r="O168" s="203"/>
      <c r="P168" s="203"/>
      <c r="Q168" s="203"/>
    </row>
    <row r="169" spans="1:17" s="204" customFormat="1" ht="21" customHeight="1">
      <c r="A169" s="203">
        <v>167</v>
      </c>
      <c r="B169" s="204" t="s">
        <v>301</v>
      </c>
      <c r="D169" s="203">
        <v>0</v>
      </c>
      <c r="E169" s="203">
        <v>0</v>
      </c>
      <c r="F169" s="204" t="s">
        <v>321</v>
      </c>
      <c r="G169" s="205">
        <v>4</v>
      </c>
      <c r="H169" s="205">
        <v>40</v>
      </c>
      <c r="I169" s="205">
        <f ca="1">RANDBETWEEN(1,24)</f>
        <v>22</v>
      </c>
      <c r="J169" s="204" t="str">
        <f ca="1">IF(RANDBETWEEN(1,100)&lt;=40,LOOKUP(I169,'Gem types'!$B$3:$B$26,'Gem types'!$C$3:$C$26),"none")</f>
        <v>none</v>
      </c>
      <c r="K169" s="101" t="str">
        <f>IF(I169=0,"",LOOKUP(I169,'Gem types'!$B$3:$B$55,'Gem types'!$D$3:$D$55))</f>
        <v>gray, yellow, or blue (cairngorm), all light</v>
      </c>
      <c r="L169" s="101" t="str">
        <f>IF(I169=0,"",LOOKUP(I169,'Gem types'!$B$3:$B$55,'Gem types'!$F$3:$F$55))</f>
        <v>protection from poison</v>
      </c>
      <c r="M169" s="101" t="s">
        <v>11</v>
      </c>
      <c r="N169" s="203"/>
      <c r="O169" s="203"/>
      <c r="P169" s="203"/>
      <c r="Q169" s="203"/>
    </row>
    <row r="170" spans="1:17" s="204" customFormat="1" ht="21" customHeight="1">
      <c r="A170" s="203">
        <v>168</v>
      </c>
      <c r="B170" s="204" t="s">
        <v>301</v>
      </c>
      <c r="D170" s="203">
        <v>0</v>
      </c>
      <c r="E170" s="203">
        <v>0</v>
      </c>
      <c r="F170" s="204" t="s">
        <v>316</v>
      </c>
      <c r="G170" s="205">
        <v>10</v>
      </c>
      <c r="H170" s="205">
        <v>60</v>
      </c>
      <c r="I170" s="205">
        <f ca="1">RANDBETWEEN(1,24)</f>
        <v>17</v>
      </c>
      <c r="J170" s="204" t="str">
        <f ca="1">IF(RANDBETWEEN(1,100)&lt;=40,LOOKUP(I170,'Gem types'!$B$3:$B$26,'Gem types'!$C$3:$C$26),"none")</f>
        <v>none</v>
      </c>
      <c r="K170" s="101" t="str">
        <f>IF(I170=0,"",LOOKUP(I170,'Gem types'!$B$3:$B$55,'Gem types'!$D$3:$D$55))</f>
        <v>blue, black to brown</v>
      </c>
      <c r="L170" s="101" t="str">
        <f>IF(I170=0,"",LOOKUP(I170,'Gem types'!$B$3:$B$55,'Gem types'!$F$3:$F$55))</f>
        <v>protection from venom</v>
      </c>
      <c r="M170" s="101" t="s">
        <v>12</v>
      </c>
      <c r="N170" s="203"/>
      <c r="O170" s="203"/>
      <c r="P170" s="203"/>
      <c r="Q170" s="203"/>
    </row>
    <row r="171" spans="1:17" s="204" customFormat="1" ht="21" customHeight="1">
      <c r="A171" s="203">
        <v>169</v>
      </c>
      <c r="B171" s="204" t="s">
        <v>301</v>
      </c>
      <c r="D171" s="203">
        <v>0</v>
      </c>
      <c r="E171" s="203">
        <v>0</v>
      </c>
      <c r="F171" s="204" t="s">
        <v>317</v>
      </c>
      <c r="G171" s="205">
        <v>10</v>
      </c>
      <c r="H171" s="205">
        <v>80</v>
      </c>
      <c r="I171" s="205">
        <f ca="1">RANDBETWEEN(1,24)</f>
        <v>18</v>
      </c>
      <c r="J171" s="204" t="str">
        <f ca="1">IF(RANDBETWEEN(1,100)&lt;=40,LOOKUP(I171,'Gem types'!$B$3:$B$26,'Gem types'!$C$3:$C$26),"none")</f>
        <v>Moonstone</v>
      </c>
      <c r="K171" s="101" t="str">
        <f>IF(I171=0,"",LOOKUP(I171,'Gem types'!$B$3:$B$55,'Gem types'!$D$3:$D$55))</f>
        <v>white with pale blue glow</v>
      </c>
      <c r="L171" s="101" t="str">
        <f>IF(I171=0,"",LOOKUP(I171,'Gem types'!$B$3:$B$55,'Gem types'!$F$3:$F$55))</f>
        <v>causes lycanthropy</v>
      </c>
      <c r="M171" s="101" t="s">
        <v>11</v>
      </c>
      <c r="N171" s="203"/>
      <c r="O171" s="203"/>
      <c r="P171" s="203"/>
      <c r="Q171" s="203"/>
    </row>
    <row r="172" spans="1:17" s="204" customFormat="1" ht="21" customHeight="1">
      <c r="A172" s="203">
        <v>170</v>
      </c>
      <c r="B172" s="204" t="s">
        <v>301</v>
      </c>
      <c r="D172" s="203">
        <v>0</v>
      </c>
      <c r="E172" s="203">
        <v>0</v>
      </c>
      <c r="F172" s="204" t="s">
        <v>318</v>
      </c>
      <c r="G172" s="205">
        <v>20</v>
      </c>
      <c r="H172" s="205">
        <v>120</v>
      </c>
      <c r="I172" s="205">
        <f ca="1">RANDBETWEEN(1,24)</f>
        <v>18</v>
      </c>
      <c r="J172" s="204" t="str">
        <f ca="1">IF(RANDBETWEEN(1,100)&lt;=40,LOOKUP(I172,'Gem types'!$B$3:$B$26,'Gem types'!$C$3:$C$26),"none")</f>
        <v>none</v>
      </c>
      <c r="K172" s="101" t="str">
        <f>IF(I172=0,"",LOOKUP(I172,'Gem types'!$B$3:$B$55,'Gem types'!$D$3:$D$55))</f>
        <v>white with pale blue glow</v>
      </c>
      <c r="L172" s="101" t="str">
        <f>IF(I172=0,"",LOOKUP(I172,'Gem types'!$B$3:$B$55,'Gem types'!$F$3:$F$55))</f>
        <v>causes lycanthropy</v>
      </c>
      <c r="M172" s="101" t="s">
        <v>12</v>
      </c>
      <c r="N172" s="203"/>
      <c r="O172" s="203"/>
      <c r="P172" s="203"/>
      <c r="Q172" s="203"/>
    </row>
    <row r="173" spans="1:17" s="204" customFormat="1" ht="21" customHeight="1">
      <c r="A173" s="203">
        <v>171</v>
      </c>
      <c r="B173" s="204" t="s">
        <v>301</v>
      </c>
      <c r="D173" s="203">
        <v>0</v>
      </c>
      <c r="E173" s="203">
        <v>0</v>
      </c>
      <c r="F173" s="204" t="s">
        <v>319</v>
      </c>
      <c r="G173" s="205">
        <v>30</v>
      </c>
      <c r="H173" s="205">
        <v>180</v>
      </c>
      <c r="I173" s="205">
        <f ca="1">RANDBETWEEN(1,24)</f>
        <v>5</v>
      </c>
      <c r="J173" s="204" t="str">
        <f ca="1">IF(RANDBETWEEN(1,100)&lt;=40,LOOKUP(I173,'Gem types'!$B$3:$B$26,'Gem types'!$C$3:$C$26),"none")</f>
        <v>none</v>
      </c>
      <c r="K173" s="101" t="str">
        <f>IF(I173=0,"",LOOKUP(I173,'Gem types'!$B$3:$B$55,'Gem types'!$D$3:$D$55))</f>
        <v>gray-black</v>
      </c>
      <c r="L173" s="101" t="str">
        <f>IF(I173=0,"",LOOKUP(I173,'Gem types'!$B$3:$B$55,'Gem types'!$F$3:$F$55))</f>
        <v>aids fighters, heals wounds</v>
      </c>
      <c r="M173" s="101" t="s">
        <v>11</v>
      </c>
      <c r="N173" s="203"/>
      <c r="O173" s="203"/>
      <c r="P173" s="203"/>
      <c r="Q173" s="203"/>
    </row>
    <row r="174" spans="1:17" s="204" customFormat="1" ht="21" customHeight="1">
      <c r="A174" s="203">
        <v>172</v>
      </c>
      <c r="B174" s="204" t="s">
        <v>302</v>
      </c>
      <c r="D174" s="203">
        <v>1</v>
      </c>
      <c r="E174" s="203">
        <v>4</v>
      </c>
      <c r="F174" s="204" t="s">
        <v>317</v>
      </c>
      <c r="G174" s="205">
        <v>40</v>
      </c>
      <c r="H174" s="205">
        <v>240</v>
      </c>
      <c r="I174" s="205">
        <f ca="1">RANDBETWEEN(13,39)</f>
        <v>34</v>
      </c>
      <c r="J174" s="204" t="str">
        <f ca="1">IF(RANDBETWEEN(1,100)&lt;=80,LOOKUP(I174,'Gem types'!$B$15:$B$41,'Gem types'!$C$15:$C$41),"none")</f>
        <v>Jet</v>
      </c>
      <c r="K174" s="101" t="str">
        <f>IF(I174=0,"",LOOKUP(I174,'Gem types'!$B$3:$B$55,'Gem types'!$D$3:$D$55))</f>
        <v>deep black</v>
      </c>
      <c r="L174" s="101" t="str">
        <f>IF(I174=0,"",LOOKUP(I174,'Gem types'!$B$3:$B$55,'Gem types'!$F$3:$F$55))</f>
        <v>soul object material</v>
      </c>
      <c r="M174" s="101" t="s">
        <v>11</v>
      </c>
      <c r="N174" s="203"/>
      <c r="O174" s="203"/>
      <c r="P174" s="203"/>
      <c r="Q174" s="203"/>
    </row>
    <row r="175" spans="1:17" s="204" customFormat="1" ht="21" customHeight="1">
      <c r="A175" s="203">
        <v>173</v>
      </c>
      <c r="B175" s="204" t="s">
        <v>302</v>
      </c>
      <c r="D175" s="203">
        <v>1</v>
      </c>
      <c r="E175" s="203">
        <v>4</v>
      </c>
      <c r="F175" s="204" t="s">
        <v>318</v>
      </c>
      <c r="G175" s="205">
        <v>50</v>
      </c>
      <c r="H175" s="205">
        <v>400</v>
      </c>
      <c r="I175" s="205">
        <f ca="1">RANDBETWEEN(13,39)</f>
        <v>26</v>
      </c>
      <c r="J175" s="204" t="str">
        <f ca="1">IF(RANDBETWEEN(1,100)&lt;=80,LOOKUP(I175,'Gem types'!$B$15:$B$41,'Gem types'!$C$15:$C$41),"none")</f>
        <v>Alexandrite</v>
      </c>
      <c r="K175" s="101" t="str">
        <f>IF(I175=0,"",LOOKUP(I175,'Gem types'!$B$3:$B$55,'Gem types'!$D$3:$D$55))</f>
        <v>dark green</v>
      </c>
      <c r="L175" s="101" t="str">
        <f>IF(I175=0,"",LOOKUP(I175,'Gem types'!$B$3:$B$55,'Gem types'!$F$3:$F$55))</f>
        <v>good omens</v>
      </c>
      <c r="M175" s="101" t="s">
        <v>11</v>
      </c>
      <c r="N175" s="203"/>
      <c r="O175" s="203"/>
      <c r="P175" s="203"/>
      <c r="Q175" s="203"/>
    </row>
    <row r="176" spans="1:17" s="204" customFormat="1" ht="21" customHeight="1">
      <c r="A176" s="203">
        <v>174</v>
      </c>
      <c r="B176" s="204" t="s">
        <v>302</v>
      </c>
      <c r="D176" s="203">
        <v>1</v>
      </c>
      <c r="E176" s="203">
        <v>4</v>
      </c>
      <c r="F176" s="204" t="s">
        <v>319</v>
      </c>
      <c r="G176" s="205">
        <v>80</v>
      </c>
      <c r="H176" s="205">
        <v>500</v>
      </c>
      <c r="I176" s="205">
        <f ca="1">RANDBETWEEN(13,39)</f>
        <v>24</v>
      </c>
      <c r="J176" s="204" t="str">
        <f ca="1">IF(RANDBETWEEN(1,100)&lt;=80,LOOKUP(I176,'Gem types'!$B$15:$B$41,'Gem types'!$C$15:$C$41),"none")</f>
        <v>none</v>
      </c>
      <c r="K176" s="101" t="str">
        <f>IF(I176=0,"",LOOKUP(I176,'Gem types'!$B$3:$B$55,'Gem types'!$D$3:$D$55))</f>
        <v>clear pale blue-green</v>
      </c>
      <c r="L176" s="101" t="str">
        <f>IF(I176=0,"",LOOKUP(I176,'Gem types'!$B$3:$B$55,'Gem types'!$F$3:$F$55))</f>
        <v>charms intelligent, water-dwelling creatures</v>
      </c>
      <c r="M176" s="101" t="s">
        <v>11</v>
      </c>
      <c r="N176" s="203"/>
      <c r="O176" s="203"/>
      <c r="P176" s="203"/>
      <c r="Q176" s="203"/>
    </row>
    <row r="177" spans="1:17" s="204" customFormat="1" ht="21" customHeight="1">
      <c r="A177" s="203">
        <v>175</v>
      </c>
      <c r="B177" s="204" t="s">
        <v>303</v>
      </c>
      <c r="D177" s="203">
        <v>2</v>
      </c>
      <c r="E177" s="203">
        <v>12</v>
      </c>
      <c r="F177" s="204" t="s">
        <v>320</v>
      </c>
      <c r="G177" s="205">
        <v>300</v>
      </c>
      <c r="H177" s="205">
        <v>3000</v>
      </c>
      <c r="I177" s="205">
        <f ca="1">RANDBETWEEN(25,53)</f>
        <v>28</v>
      </c>
      <c r="J177" s="204" t="str">
        <f>LOOKUP(I177,'Gem types'!$B$27:$B$55,'Gem types'!$C$27:$C$55)</f>
        <v>Aquamarine</v>
      </c>
      <c r="K177" s="101" t="str">
        <f>IF(I177=0,"",LOOKUP(I177,'Gem types'!$B$3:$B$55,'Gem types'!$D$3:$D$55))</f>
        <v>pale blue-green</v>
      </c>
      <c r="L177" s="101" t="str">
        <f>IF(I177=0,"",LOOKUP(I177,'Gem types'!$B$3:$B$55,'Gem types'!$F$3:$F$55))</f>
        <v>aids fisherman</v>
      </c>
      <c r="M177" s="101" t="s">
        <v>11</v>
      </c>
      <c r="N177" s="203"/>
      <c r="O177" s="203"/>
      <c r="P177" s="203"/>
      <c r="Q177" s="203"/>
    </row>
    <row r="178" spans="1:17" s="204" customFormat="1" ht="21" customHeight="1">
      <c r="A178" s="203">
        <v>176</v>
      </c>
      <c r="B178" s="204" t="s">
        <v>304</v>
      </c>
      <c r="D178" s="203">
        <v>0</v>
      </c>
      <c r="E178" s="203">
        <v>0</v>
      </c>
      <c r="F178" s="204" t="s">
        <v>321</v>
      </c>
      <c r="G178" s="205">
        <v>4</v>
      </c>
      <c r="H178" s="205">
        <v>40</v>
      </c>
      <c r="I178" s="205">
        <f ca="1">RANDBETWEEN(1,24)</f>
        <v>11</v>
      </c>
      <c r="J178" s="204" t="str">
        <f ca="1">IF(RANDBETWEEN(1,100)&lt;=40,LOOKUP(I178,'Gem types'!$B$3:$B$26,'Gem types'!$C$3:$C$26),"none")</f>
        <v>none</v>
      </c>
      <c r="K178" s="101" t="str">
        <f>IF(I178=0,"",LOOKUP(I178,'Gem types'!$B$3:$B$55,'Gem types'!$D$3:$D$55))</f>
        <v>rich brown with golden center under-hue</v>
      </c>
      <c r="L178" s="101" t="str">
        <f>IF(I178=0,"",LOOKUP(I178,'Gem types'!$B$3:$B$55,'Gem types'!$F$3:$F$55))</f>
        <v>protection against large cats (tigers, lions, panthers, etc.)</v>
      </c>
      <c r="M178" s="101" t="s">
        <v>10</v>
      </c>
      <c r="N178" s="203"/>
      <c r="O178" s="203"/>
      <c r="P178" s="203"/>
      <c r="Q178" s="203"/>
    </row>
    <row r="179" spans="1:17" s="204" customFormat="1" ht="21" customHeight="1">
      <c r="A179" s="203">
        <v>177</v>
      </c>
      <c r="B179" s="204" t="s">
        <v>304</v>
      </c>
      <c r="D179" s="203">
        <v>0</v>
      </c>
      <c r="E179" s="203">
        <v>0</v>
      </c>
      <c r="F179" s="204" t="s">
        <v>316</v>
      </c>
      <c r="G179" s="205">
        <v>10</v>
      </c>
      <c r="H179" s="205">
        <v>60</v>
      </c>
      <c r="I179" s="205">
        <f ca="1">RANDBETWEEN(1,24)</f>
        <v>11</v>
      </c>
      <c r="J179" s="204" t="str">
        <f ca="1">IF(RANDBETWEEN(1,100)&lt;=40,LOOKUP(I179,'Gem types'!$B$3:$B$26,'Gem types'!$C$3:$C$26),"none")</f>
        <v>none</v>
      </c>
      <c r="K179" s="101" t="str">
        <f>IF(I179=0,"",LOOKUP(I179,'Gem types'!$B$3:$B$55,'Gem types'!$D$3:$D$55))</f>
        <v>rich brown with golden center under-hue</v>
      </c>
      <c r="L179" s="101" t="str">
        <f>IF(I179=0,"",LOOKUP(I179,'Gem types'!$B$3:$B$55,'Gem types'!$F$3:$F$55))</f>
        <v>protection against large cats (tigers, lions, panthers, etc.)</v>
      </c>
      <c r="M179" s="101" t="s">
        <v>10</v>
      </c>
      <c r="N179" s="203"/>
      <c r="O179" s="203"/>
      <c r="P179" s="203"/>
      <c r="Q179" s="203"/>
    </row>
    <row r="180" spans="1:17" s="204" customFormat="1" ht="21" customHeight="1">
      <c r="A180" s="203">
        <v>178</v>
      </c>
      <c r="B180" s="204" t="s">
        <v>304</v>
      </c>
      <c r="D180" s="203">
        <v>0</v>
      </c>
      <c r="E180" s="203">
        <v>0</v>
      </c>
      <c r="F180" s="204" t="s">
        <v>317</v>
      </c>
      <c r="G180" s="205">
        <v>10</v>
      </c>
      <c r="H180" s="205">
        <v>80</v>
      </c>
      <c r="I180" s="205">
        <f ca="1">RANDBETWEEN(1,24)</f>
        <v>11</v>
      </c>
      <c r="J180" s="204" t="str">
        <f ca="1">IF(RANDBETWEEN(1,100)&lt;=40,LOOKUP(I180,'Gem types'!$B$3:$B$26,'Gem types'!$C$3:$C$26),"none")</f>
        <v>none</v>
      </c>
      <c r="K180" s="101" t="str">
        <f>IF(I180=0,"",LOOKUP(I180,'Gem types'!$B$3:$B$55,'Gem types'!$D$3:$D$55))</f>
        <v>rich brown with golden center under-hue</v>
      </c>
      <c r="L180" s="101" t="str">
        <f>IF(I180=0,"",LOOKUP(I180,'Gem types'!$B$3:$B$55,'Gem types'!$F$3:$F$55))</f>
        <v>protection against large cats (tigers, lions, panthers, etc.)</v>
      </c>
      <c r="M180" s="101" t="s">
        <v>10</v>
      </c>
      <c r="N180" s="203"/>
      <c r="O180" s="203"/>
      <c r="P180" s="203"/>
      <c r="Q180" s="203"/>
    </row>
    <row r="181" spans="1:17" s="204" customFormat="1" ht="21" customHeight="1">
      <c r="A181" s="203">
        <v>179</v>
      </c>
      <c r="B181" s="204" t="s">
        <v>304</v>
      </c>
      <c r="D181" s="203">
        <v>0</v>
      </c>
      <c r="E181" s="203">
        <v>0</v>
      </c>
      <c r="F181" s="204" t="s">
        <v>318</v>
      </c>
      <c r="G181" s="205">
        <v>20</v>
      </c>
      <c r="H181" s="205">
        <v>120</v>
      </c>
      <c r="I181" s="205">
        <f ca="1">RANDBETWEEN(1,24)</f>
        <v>2</v>
      </c>
      <c r="J181" s="204" t="str">
        <f ca="1">IF(RANDBETWEEN(1,100)&lt;=40,LOOKUP(I181,'Gem types'!$B$3:$B$26,'Gem types'!$C$3:$C$26),"none")</f>
        <v>none</v>
      </c>
      <c r="K181" s="101" t="str">
        <f>IF(I181=0,"",LOOKUP(I181,'Gem types'!$B$3:$B$55,'Gem types'!$D$3:$D$55))</f>
        <v>stripped brown, blue, white, reddish</v>
      </c>
      <c r="L181" s="101" t="str">
        <f>IF(I181=0,"",LOOKUP(I181,'Gem types'!$B$3:$B$55,'Gem types'!$F$3:$F$55))</f>
        <v>induces sleep accompanied by visions</v>
      </c>
      <c r="M181" s="101" t="s">
        <v>10</v>
      </c>
      <c r="N181" s="203"/>
      <c r="O181" s="203"/>
      <c r="P181" s="203"/>
      <c r="Q181" s="203"/>
    </row>
    <row r="182" spans="1:17" s="204" customFormat="1" ht="21" customHeight="1">
      <c r="A182" s="203">
        <v>180</v>
      </c>
      <c r="B182" s="204" t="s">
        <v>304</v>
      </c>
      <c r="D182" s="203">
        <v>0</v>
      </c>
      <c r="E182" s="203">
        <v>0</v>
      </c>
      <c r="F182" s="204" t="s">
        <v>319</v>
      </c>
      <c r="G182" s="205">
        <v>30</v>
      </c>
      <c r="H182" s="205">
        <v>180</v>
      </c>
      <c r="I182" s="205">
        <f ca="1">RANDBETWEEN(1,24)</f>
        <v>1</v>
      </c>
      <c r="J182" s="204" t="str">
        <f ca="1">IF(RANDBETWEEN(1,100)&lt;=40,LOOKUP(I182,'Gem types'!$B$3:$B$26,'Gem types'!$C$3:$C$26),"none")</f>
        <v>Azurite</v>
      </c>
      <c r="K182" s="101" t="str">
        <f>IF(I182=0,"",LOOKUP(I182,'Gem types'!$B$3:$B$55,'Gem types'!$D$3:$D$55))</f>
        <v>mottled deep blue</v>
      </c>
      <c r="L182" s="101" t="str">
        <f>IF(I182=0,"",LOOKUP(I182,'Gem types'!$B$3:$B$55,'Gem types'!$F$3:$F$55))</f>
        <v>controls bodies of fresh water</v>
      </c>
      <c r="M182" s="101" t="s">
        <v>10</v>
      </c>
      <c r="N182" s="203"/>
      <c r="O182" s="203"/>
      <c r="P182" s="203"/>
      <c r="Q182" s="203"/>
    </row>
    <row r="183" spans="1:17" s="204" customFormat="1" ht="21" customHeight="1">
      <c r="A183" s="203">
        <v>181</v>
      </c>
      <c r="B183" s="204" t="s">
        <v>305</v>
      </c>
      <c r="D183" s="203">
        <v>10</v>
      </c>
      <c r="E183" s="203">
        <v>40</v>
      </c>
      <c r="F183" s="204" t="s">
        <v>317</v>
      </c>
      <c r="G183" s="205">
        <v>40</v>
      </c>
      <c r="H183" s="205">
        <v>240</v>
      </c>
      <c r="I183" s="205">
        <f ca="1">RANDBETWEEN(13,39)</f>
        <v>20</v>
      </c>
      <c r="J183" s="204" t="str">
        <f ca="1">IF(RANDBETWEEN(1,100)&lt;=80,LOOKUP(I183,'Gem types'!$B$15:$B$41,'Gem types'!$C$15:$C$41),"none")</f>
        <v>Rock Crystal</v>
      </c>
      <c r="K183" s="101" t="str">
        <f>IF(I183=0,"",LOOKUP(I183,'Gem types'!$B$3:$B$55,'Gem types'!$D$3:$D$55))</f>
        <v>clear</v>
      </c>
      <c r="L183" s="101" t="str">
        <f>IF(I183=0,"",LOOKUP(I183,'Gem types'!$B$3:$B$55,'Gem types'!$F$3:$F$55))</f>
        <v>aids magic-users and illusionists</v>
      </c>
      <c r="M183" s="101" t="s">
        <v>10</v>
      </c>
      <c r="N183" s="203"/>
      <c r="O183" s="203"/>
      <c r="P183" s="203"/>
      <c r="Q183" s="203"/>
    </row>
    <row r="184" spans="1:17" s="204" customFormat="1" ht="21" customHeight="1">
      <c r="A184" s="203">
        <v>182</v>
      </c>
      <c r="B184" s="204" t="s">
        <v>305</v>
      </c>
      <c r="D184" s="203">
        <v>10</v>
      </c>
      <c r="E184" s="203">
        <v>40</v>
      </c>
      <c r="F184" s="204" t="s">
        <v>318</v>
      </c>
      <c r="G184" s="205">
        <v>50</v>
      </c>
      <c r="H184" s="205">
        <v>400</v>
      </c>
      <c r="I184" s="205">
        <f ca="1">RANDBETWEEN(13,39)</f>
        <v>32</v>
      </c>
      <c r="J184" s="204" t="str">
        <f ca="1">IF(RANDBETWEEN(1,100)&lt;=80,LOOKUP(I184,'Gem types'!$B$15:$B$41,'Gem types'!$C$15:$C$41),"none")</f>
        <v>none</v>
      </c>
      <c r="K184" s="101" t="str">
        <f>IF(I184=0,"",LOOKUP(I184,'Gem types'!$B$3:$B$55,'Gem types'!$D$3:$D$55))</f>
        <v>red, brown-green, or violet (the most prized)</v>
      </c>
      <c r="L184" s="101" t="str">
        <f>IF(I184=0,"",LOOKUP(I184,'Gem types'!$B$3:$B$55,'Gem types'!$F$3:$F$55))</f>
        <v>curses enemies, required for casting an 'evil-eye' curse</v>
      </c>
      <c r="M184" s="101" t="s">
        <v>10</v>
      </c>
      <c r="N184" s="203"/>
      <c r="O184" s="203"/>
      <c r="P184" s="203"/>
      <c r="Q184" s="203"/>
    </row>
    <row r="185" spans="1:17" s="204" customFormat="1" ht="21" customHeight="1">
      <c r="A185" s="203">
        <v>183</v>
      </c>
      <c r="B185" s="204" t="s">
        <v>305</v>
      </c>
      <c r="D185" s="203">
        <v>10</v>
      </c>
      <c r="E185" s="203">
        <v>40</v>
      </c>
      <c r="F185" s="204" t="s">
        <v>319</v>
      </c>
      <c r="G185" s="205">
        <v>80</v>
      </c>
      <c r="H185" s="205">
        <v>500</v>
      </c>
      <c r="I185" s="205">
        <f ca="1">RANDBETWEEN(13,39)</f>
        <v>34</v>
      </c>
      <c r="J185" s="204" t="str">
        <f ca="1">IF(RANDBETWEEN(1,100)&lt;=80,LOOKUP(I185,'Gem types'!$B$15:$B$41,'Gem types'!$C$15:$C$41),"none")</f>
        <v>Jet</v>
      </c>
      <c r="K185" s="101" t="str">
        <f>IF(I185=0,"",LOOKUP(I185,'Gem types'!$B$3:$B$55,'Gem types'!$D$3:$D$55))</f>
        <v>deep black</v>
      </c>
      <c r="L185" s="101" t="str">
        <f>IF(I185=0,"",LOOKUP(I185,'Gem types'!$B$3:$B$55,'Gem types'!$F$3:$F$55))</f>
        <v>soul object material</v>
      </c>
      <c r="M185" s="101" t="s">
        <v>10</v>
      </c>
      <c r="N185" s="203"/>
      <c r="O185" s="203"/>
      <c r="P185" s="203"/>
      <c r="Q185" s="203"/>
    </row>
    <row r="186" spans="1:17" s="204" customFormat="1" ht="21" customHeight="1">
      <c r="A186" s="203">
        <v>184</v>
      </c>
      <c r="B186" s="204" t="s">
        <v>306</v>
      </c>
      <c r="D186" s="203">
        <v>20</v>
      </c>
      <c r="E186" s="203">
        <v>80</v>
      </c>
      <c r="F186" s="204" t="s">
        <v>320</v>
      </c>
      <c r="G186" s="205">
        <v>500</v>
      </c>
      <c r="H186" s="205">
        <v>5000</v>
      </c>
      <c r="I186" s="205">
        <f ca="1">RANDBETWEEN(25,53)</f>
        <v>40</v>
      </c>
      <c r="J186" s="204" t="str">
        <f>LOOKUP(I186,'Gem types'!$B$27:$B$55,'Gem types'!$C$27:$C$55)</f>
        <v>Black Opal</v>
      </c>
      <c r="K186" s="101" t="str">
        <f>IF(I186=0,"",LOOKUP(I186,'Gem types'!$B$3:$B$55,'Gem types'!$D$3:$D$55))</f>
        <v>dark green with black mottling and golden flecks</v>
      </c>
      <c r="L186" s="101" t="str">
        <f>IF(I186=0,"",LOOKUP(I186,'Gem types'!$B$3:$B$55,'Gem types'!$F$3:$F$55))</f>
        <v>controls the heavens</v>
      </c>
      <c r="M186" s="101" t="s">
        <v>10</v>
      </c>
      <c r="N186" s="203"/>
      <c r="O186" s="203"/>
      <c r="P186" s="203"/>
      <c r="Q186" s="203"/>
    </row>
    <row r="193" ht="10.5">
      <c r="S193" s="206"/>
    </row>
    <row r="194" ht="10.5">
      <c r="S194" s="203"/>
    </row>
    <row r="195" ht="10.5">
      <c r="S195" s="203"/>
    </row>
    <row r="197" ht="10.5">
      <c r="S197" s="206"/>
    </row>
    <row r="199" ht="10.5">
      <c r="S199" s="206"/>
    </row>
    <row r="203" ht="10.5">
      <c r="S203" s="206"/>
    </row>
    <row r="211" ht="10.5">
      <c r="S211" s="206"/>
    </row>
    <row r="213" ht="10.5">
      <c r="S213" s="206"/>
    </row>
    <row r="225" ht="10.5">
      <c r="S225" s="206"/>
    </row>
    <row r="226" ht="10.5">
      <c r="S226" s="203"/>
    </row>
    <row r="227" ht="10.5">
      <c r="S227" s="203"/>
    </row>
    <row r="231" ht="10.5">
      <c r="S231" s="203"/>
    </row>
    <row r="232" ht="10.5">
      <c r="S232" s="203"/>
    </row>
    <row r="237" ht="10.5">
      <c r="S237" s="206"/>
    </row>
    <row r="238" ht="10.5">
      <c r="S238" s="203"/>
    </row>
    <row r="239" ht="10.5">
      <c r="S239" s="203"/>
    </row>
    <row r="243" ht="10.5">
      <c r="S243" s="206"/>
    </row>
    <row r="247" ht="10.5">
      <c r="S247" s="206"/>
    </row>
    <row r="253" ht="10.5">
      <c r="S253" s="206"/>
    </row>
    <row r="264" ht="10.5">
      <c r="S264" s="206"/>
    </row>
    <row r="272" ht="10.5">
      <c r="S272" s="206"/>
    </row>
    <row r="278" ht="10.5">
      <c r="S278" s="206"/>
    </row>
    <row r="280" ht="10.5">
      <c r="S280" s="206"/>
    </row>
    <row r="282" ht="10.5">
      <c r="S282" s="206"/>
    </row>
    <row r="292" ht="10.5">
      <c r="S292" s="203"/>
    </row>
    <row r="293" ht="10.5">
      <c r="S293" s="203"/>
    </row>
    <row r="295" ht="10.5">
      <c r="S295" s="206"/>
    </row>
    <row r="301" ht="10.5">
      <c r="S301" s="206"/>
    </row>
    <row r="305" ht="10.5">
      <c r="S305" s="206"/>
    </row>
    <row r="320" ht="10.5">
      <c r="S320" s="210"/>
    </row>
    <row r="327" ht="10.5">
      <c r="S327" s="203"/>
    </row>
    <row r="328" ht="10.5">
      <c r="S328" s="203"/>
    </row>
    <row r="329" ht="10.5">
      <c r="S329" s="203"/>
    </row>
    <row r="335" ht="10.5">
      <c r="S335" s="206"/>
    </row>
    <row r="349" ht="10.5">
      <c r="S349" s="206"/>
    </row>
    <row r="350" ht="10.5">
      <c r="S350" s="206"/>
    </row>
    <row r="396" ht="10.5">
      <c r="S396" s="206"/>
    </row>
    <row r="397" ht="10.5">
      <c r="S397" s="206"/>
    </row>
    <row r="398" ht="10.5">
      <c r="S398" s="206"/>
    </row>
    <row r="433" ht="10.5">
      <c r="S433" s="206"/>
    </row>
    <row r="470" ht="10.5">
      <c r="S470" s="206"/>
    </row>
    <row r="485" ht="10.5">
      <c r="S485" s="206"/>
    </row>
    <row r="492" ht="10.5">
      <c r="S492" s="206"/>
    </row>
    <row r="542" ht="10.5">
      <c r="S542" s="206"/>
    </row>
    <row r="547" ht="10.5">
      <c r="S547" s="206"/>
    </row>
    <row r="558" ht="10.5">
      <c r="S558" s="206"/>
    </row>
    <row r="570" ht="10.5">
      <c r="S570" s="206"/>
    </row>
    <row r="580" ht="10.5">
      <c r="S580" s="206"/>
    </row>
    <row r="594" ht="10.5">
      <c r="S594" s="206"/>
    </row>
    <row r="599" ht="10.5">
      <c r="S599" s="206"/>
    </row>
    <row r="600" ht="10.5">
      <c r="S600" s="206"/>
    </row>
    <row r="607" ht="10.5">
      <c r="S607" s="206"/>
    </row>
    <row r="633" ht="10.5">
      <c r="S633" s="206"/>
    </row>
    <row r="635" ht="10.5">
      <c r="S635" s="206"/>
    </row>
    <row r="636" ht="10.5">
      <c r="S636" s="206"/>
    </row>
    <row r="647" ht="10.5">
      <c r="S647" s="206"/>
    </row>
    <row r="657" ht="10.5">
      <c r="S657" s="206"/>
    </row>
    <row r="659" ht="10.5">
      <c r="S659" s="206"/>
    </row>
    <row r="672" ht="10.5">
      <c r="S672" s="206"/>
    </row>
    <row r="678" ht="10.5">
      <c r="S678" s="206"/>
    </row>
    <row r="679" ht="10.5">
      <c r="S679" s="206"/>
    </row>
    <row r="692" ht="10.5">
      <c r="S692" s="206"/>
    </row>
    <row r="693" ht="10.5">
      <c r="S693" s="206"/>
    </row>
    <row r="698" ht="10.5">
      <c r="S698" s="206"/>
    </row>
    <row r="715" ht="10.5">
      <c r="S715" s="206"/>
    </row>
    <row r="747" ht="10.5">
      <c r="S747" s="206"/>
    </row>
    <row r="760" ht="10.5">
      <c r="S760" s="206"/>
    </row>
    <row r="779" ht="10.5">
      <c r="S779" s="206"/>
    </row>
    <row r="810" ht="10.5">
      <c r="S810" s="206"/>
    </row>
    <row r="836" ht="10.5">
      <c r="S836" s="206"/>
    </row>
  </sheetData>
  <mergeCells count="9">
    <mergeCell ref="Q1:Q2"/>
    <mergeCell ref="D1:E1"/>
    <mergeCell ref="G1:H1"/>
    <mergeCell ref="N1:N2"/>
    <mergeCell ref="O1:O2"/>
    <mergeCell ref="P1:P2"/>
    <mergeCell ref="J1:J2"/>
    <mergeCell ref="K1:K2"/>
    <mergeCell ref="L1:L2"/>
  </mergeCells>
  <printOptions/>
  <pageMargins left="0.75" right="0.75" top="1" bottom="1" header="0.5" footer="0.5"/>
  <pageSetup horizontalDpi="2540" verticalDpi="254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W31"/>
  <sheetViews>
    <sheetView showGridLines="0" showRowColHeaders="0" tabSelected="1" zoomScale="150" zoomScaleNormal="150" workbookViewId="0" topLeftCell="A1">
      <selection activeCell="A1" sqref="A1"/>
    </sheetView>
  </sheetViews>
  <sheetFormatPr defaultColWidth="9.140625" defaultRowHeight="12.75"/>
  <cols>
    <col min="1" max="2" width="2.421875" style="131" customWidth="1"/>
    <col min="3" max="3" width="8.00390625" style="132" customWidth="1"/>
    <col min="4" max="4" width="4.8515625" style="133" customWidth="1"/>
    <col min="5" max="5" width="1.7109375" style="134" bestFit="1" customWidth="1"/>
    <col min="6" max="6" width="2.140625" style="135" customWidth="1"/>
    <col min="7" max="7" width="2.140625" style="136" customWidth="1"/>
    <col min="8" max="8" width="2.140625" style="137" customWidth="1"/>
    <col min="9" max="9" width="4.8515625" style="133" customWidth="1"/>
    <col min="10" max="10" width="1.7109375" style="134" bestFit="1" customWidth="1"/>
    <col min="11" max="11" width="2.140625" style="135" customWidth="1"/>
    <col min="12" max="12" width="2.140625" style="136" customWidth="1"/>
    <col min="13" max="13" width="2.140625" style="137" customWidth="1"/>
    <col min="14" max="14" width="4.8515625" style="133" customWidth="1"/>
    <col min="15" max="15" width="1.7109375" style="134" bestFit="1" customWidth="1"/>
    <col min="16" max="16" width="2.140625" style="135" customWidth="1"/>
    <col min="17" max="17" width="2.140625" style="136" customWidth="1"/>
    <col min="18" max="18" width="2.140625" style="137" customWidth="1"/>
    <col min="19" max="19" width="4.8515625" style="133" customWidth="1"/>
    <col min="20" max="20" width="1.7109375" style="134" bestFit="1" customWidth="1"/>
    <col min="21" max="21" width="2.140625" style="135" customWidth="1"/>
    <col min="22" max="22" width="2.140625" style="136" customWidth="1"/>
    <col min="23" max="23" width="2.140625" style="137" customWidth="1"/>
    <col min="24" max="24" width="4.8515625" style="133" customWidth="1"/>
    <col min="25" max="25" width="1.7109375" style="134" bestFit="1" customWidth="1"/>
    <col min="26" max="26" width="2.140625" style="135" customWidth="1"/>
    <col min="27" max="27" width="2.140625" style="136" customWidth="1"/>
    <col min="28" max="28" width="2.140625" style="137" customWidth="1"/>
    <col min="29" max="29" width="4.8515625" style="133" customWidth="1"/>
    <col min="30" max="30" width="1.7109375" style="134" bestFit="1" customWidth="1"/>
    <col min="31" max="31" width="2.140625" style="135" customWidth="1"/>
    <col min="32" max="32" width="2.140625" style="136" customWidth="1"/>
    <col min="33" max="33" width="2.140625" style="137" customWidth="1"/>
    <col min="34" max="34" width="4.8515625" style="133" customWidth="1"/>
    <col min="35" max="35" width="1.7109375" style="134" bestFit="1" customWidth="1"/>
    <col min="36" max="36" width="2.140625" style="135" customWidth="1"/>
    <col min="37" max="37" width="2.140625" style="136" customWidth="1"/>
    <col min="38" max="38" width="2.140625" style="137" customWidth="1"/>
    <col min="39" max="39" width="4.8515625" style="133" customWidth="1"/>
    <col min="40" max="40" width="1.7109375" style="134" bestFit="1" customWidth="1"/>
    <col min="41" max="41" width="7.140625" style="135" customWidth="1"/>
    <col min="42" max="42" width="7.140625" style="136" customWidth="1"/>
    <col min="43" max="43" width="7.140625" style="137" customWidth="1"/>
    <col min="44" max="44" width="7.140625" style="138" customWidth="1"/>
    <col min="45" max="45" width="5.7109375" style="139" customWidth="1"/>
    <col min="46" max="16384" width="9.140625" style="140" customWidth="1"/>
  </cols>
  <sheetData>
    <row r="1" ht="9.75" thickBot="1">
      <c r="AW1" s="199"/>
    </row>
    <row r="2" spans="1:45" s="136" customFormat="1" ht="9">
      <c r="A2" s="131"/>
      <c r="B2" s="131"/>
      <c r="C2" s="264" t="s">
        <v>200</v>
      </c>
      <c r="D2" s="253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193"/>
      <c r="AD2" s="194"/>
      <c r="AE2" s="195"/>
      <c r="AF2" s="194"/>
      <c r="AG2" s="196"/>
      <c r="AH2" s="197"/>
      <c r="AI2" s="194"/>
      <c r="AJ2" s="195"/>
      <c r="AK2" s="194"/>
      <c r="AL2" s="196"/>
      <c r="AM2" s="142"/>
      <c r="AN2" s="141"/>
      <c r="AO2" s="142"/>
      <c r="AP2" s="141"/>
      <c r="AQ2" s="143"/>
      <c r="AR2" s="144"/>
      <c r="AS2" s="145"/>
    </row>
    <row r="3" spans="1:45" s="132" customFormat="1" ht="9.75" thickBot="1">
      <c r="A3" s="146"/>
      <c r="B3" s="146"/>
      <c r="C3" s="265"/>
      <c r="D3" s="263" t="s">
        <v>201</v>
      </c>
      <c r="E3" s="251"/>
      <c r="F3" s="251"/>
      <c r="G3" s="251"/>
      <c r="H3" s="262"/>
      <c r="I3" s="251" t="s">
        <v>202</v>
      </c>
      <c r="J3" s="251"/>
      <c r="K3" s="251"/>
      <c r="L3" s="251"/>
      <c r="M3" s="262"/>
      <c r="N3" s="261" t="s">
        <v>260</v>
      </c>
      <c r="O3" s="251"/>
      <c r="P3" s="251"/>
      <c r="Q3" s="251"/>
      <c r="R3" s="262"/>
      <c r="S3" s="261" t="s">
        <v>261</v>
      </c>
      <c r="T3" s="251"/>
      <c r="U3" s="251"/>
      <c r="V3" s="251"/>
      <c r="W3" s="262"/>
      <c r="X3" s="251" t="s">
        <v>76</v>
      </c>
      <c r="Y3" s="251"/>
      <c r="Z3" s="251"/>
      <c r="AA3" s="251"/>
      <c r="AB3" s="252"/>
      <c r="AC3" s="263" t="s">
        <v>77</v>
      </c>
      <c r="AD3" s="251"/>
      <c r="AE3" s="251"/>
      <c r="AF3" s="251"/>
      <c r="AG3" s="262"/>
      <c r="AH3" s="261" t="s">
        <v>78</v>
      </c>
      <c r="AI3" s="251"/>
      <c r="AJ3" s="251"/>
      <c r="AK3" s="251"/>
      <c r="AL3" s="262"/>
      <c r="AM3" s="251" t="s">
        <v>107</v>
      </c>
      <c r="AN3" s="251"/>
      <c r="AO3" s="251"/>
      <c r="AP3" s="251"/>
      <c r="AQ3" s="251"/>
      <c r="AR3" s="252"/>
      <c r="AS3" s="147"/>
    </row>
    <row r="4" spans="1:45" s="154" customFormat="1" ht="15" customHeight="1" thickTop="1">
      <c r="A4" s="148" t="b">
        <v>1</v>
      </c>
      <c r="B4" s="198" t="b">
        <v>0</v>
      </c>
      <c r="C4" s="149" t="s">
        <v>79</v>
      </c>
      <c r="D4" s="150">
        <f ca="1">IF(B4=TRUE,RAND(),"")</f>
      </c>
      <c r="E4" s="151" t="s">
        <v>106</v>
      </c>
      <c r="F4" s="247">
        <f ca="1">IF(D4="","",IF(D4&lt;'Treasurer table'!C4,RANDBETWEEN(1000,6000),""))</f>
      </c>
      <c r="G4" s="247"/>
      <c r="H4" s="248"/>
      <c r="I4" s="152">
        <f aca="true" ca="1" t="shared" si="0" ref="I4:I9">IF(B4=TRUE,RAND(),"")</f>
      </c>
      <c r="J4" s="151" t="s">
        <v>106</v>
      </c>
      <c r="K4" s="247">
        <f ca="1">IF(I4="","",IF(I4&lt;'Treasurer table'!H4,RANDBETWEEN(1000,6000),""))</f>
      </c>
      <c r="L4" s="247"/>
      <c r="M4" s="248"/>
      <c r="N4" s="153">
        <f aca="true" ca="1" t="shared" si="1" ref="N4:N9">IF(B4=TRUE,RAND(),"")</f>
      </c>
      <c r="O4" s="151" t="s">
        <v>106</v>
      </c>
      <c r="P4" s="247">
        <f ca="1">IF(N4="","",IF(N4&lt;'Treasurer table'!M4,RANDBETWEEN(1000,6000),""))</f>
      </c>
      <c r="Q4" s="247"/>
      <c r="R4" s="248"/>
      <c r="S4" s="153">
        <f ca="1">IF(B4=TRUE,RAND(),"")</f>
      </c>
      <c r="T4" s="151" t="s">
        <v>106</v>
      </c>
      <c r="U4" s="247">
        <f ca="1">IF(S4="","",IF(S4&lt;'Treasurer table'!R4,RANDBETWEEN(1000,10000),""))</f>
      </c>
      <c r="V4" s="247"/>
      <c r="W4" s="248"/>
      <c r="X4" s="152">
        <f ca="1">IF(B4=TRUE,RAND(),"")</f>
      </c>
      <c r="Y4" s="151" t="s">
        <v>106</v>
      </c>
      <c r="Z4" s="247">
        <f ca="1">IF(X4="","",IF(X4&lt;'Treasurer table'!W4,RANDBETWEEN(1000,4000),""))</f>
      </c>
      <c r="AA4" s="247"/>
      <c r="AB4" s="248"/>
      <c r="AC4" s="150">
        <f aca="true" ca="1" t="shared" si="2" ref="AC4:AC12">IF(B4=TRUE,RAND(),"")</f>
      </c>
      <c r="AD4" s="151" t="s">
        <v>106</v>
      </c>
      <c r="AE4" s="247">
        <f ca="1">IF(AC4="","",IF(AC4&lt;'Treasurer table'!AB4,RANDBETWEEN(4,40),""))</f>
      </c>
      <c r="AF4" s="247"/>
      <c r="AG4" s="248"/>
      <c r="AH4" s="153">
        <f aca="true" ca="1" t="shared" si="3" ref="AH4:AH12">IF(B4=TRUE,RAND(),"")</f>
      </c>
      <c r="AI4" s="151" t="s">
        <v>106</v>
      </c>
      <c r="AJ4" s="247">
        <f ca="1">IF(AH4="","",IF(AH4&lt;'Treasurer table'!AG4,RANDBETWEEN(3,30),""))</f>
      </c>
      <c r="AK4" s="247"/>
      <c r="AL4" s="248"/>
      <c r="AM4" s="152">
        <f aca="true" ca="1" t="shared" si="4" ref="AM4:AM12">IF(B4=TRUE,RAND(),"")</f>
      </c>
      <c r="AN4" s="151" t="s">
        <v>106</v>
      </c>
      <c r="AO4" s="249">
        <f>IF(AM4="","",IF(AM4&lt;'Treasurer table'!AL4,'Treasurer table'!AQ4,""))</f>
      </c>
      <c r="AP4" s="249"/>
      <c r="AQ4" s="249"/>
      <c r="AR4" s="250"/>
      <c r="AS4" s="256" t="s">
        <v>111</v>
      </c>
    </row>
    <row r="5" spans="1:45" s="154" customFormat="1" ht="15" customHeight="1">
      <c r="A5" s="148"/>
      <c r="B5" s="198" t="b">
        <v>0</v>
      </c>
      <c r="C5" s="155" t="s">
        <v>80</v>
      </c>
      <c r="D5" s="156">
        <f ca="1">IF(B5=TRUE,RAND(),"")</f>
      </c>
      <c r="E5" s="157" t="s">
        <v>106</v>
      </c>
      <c r="F5" s="231">
        <f ca="1">IF(D5="","",IF(D5&lt;'Treasurer table'!C5,RANDBETWEEN(1000,8000),""))</f>
      </c>
      <c r="G5" s="231"/>
      <c r="H5" s="232"/>
      <c r="I5" s="158">
        <f ca="1" t="shared" si="0"/>
      </c>
      <c r="J5" s="157" t="s">
        <v>106</v>
      </c>
      <c r="K5" s="231">
        <f ca="1">IF(I5="","",IF(I5&lt;'Treasurer table'!H5,RANDBETWEEN(1000,6000),""))</f>
      </c>
      <c r="L5" s="231"/>
      <c r="M5" s="232"/>
      <c r="N5" s="159">
        <f ca="1" t="shared" si="1"/>
      </c>
      <c r="O5" s="157" t="s">
        <v>106</v>
      </c>
      <c r="P5" s="231">
        <f ca="1">IF(N5="","",IF(N5&lt;'Treasurer table'!M5,RANDBETWEEN(1000,4000),""))</f>
      </c>
      <c r="Q5" s="231"/>
      <c r="R5" s="232"/>
      <c r="S5" s="159">
        <f ca="1">IF(B5=TRUE,RAND(),"")</f>
      </c>
      <c r="T5" s="157" t="s">
        <v>106</v>
      </c>
      <c r="U5" s="231">
        <f ca="1">IF(S5="","",IF(S5&lt;'Treasurer table'!R5,RANDBETWEEN(1000,3000),""))</f>
      </c>
      <c r="V5" s="231"/>
      <c r="W5" s="232"/>
      <c r="X5" s="160">
        <v>0</v>
      </c>
      <c r="Y5" s="161" t="s">
        <v>106</v>
      </c>
      <c r="Z5" s="233">
        <v>0</v>
      </c>
      <c r="AA5" s="233"/>
      <c r="AB5" s="234"/>
      <c r="AC5" s="156">
        <f ca="1" t="shared" si="2"/>
      </c>
      <c r="AD5" s="157" t="s">
        <v>106</v>
      </c>
      <c r="AE5" s="231">
        <f ca="1">IF(AC5="","",IF(AC5&lt;'Treasurer table'!AB5,RANDBETWEEN(1,8),""))</f>
      </c>
      <c r="AF5" s="231"/>
      <c r="AG5" s="232"/>
      <c r="AH5" s="159">
        <f ca="1" t="shared" si="3"/>
      </c>
      <c r="AI5" s="157" t="s">
        <v>106</v>
      </c>
      <c r="AJ5" s="231">
        <f ca="1">IF(AH5="","",IF(AH5&lt;'Treasurer table'!AG5,RANDBETWEEN(1,4),""))</f>
      </c>
      <c r="AK5" s="231"/>
      <c r="AL5" s="232"/>
      <c r="AM5" s="158">
        <f ca="1" t="shared" si="4"/>
      </c>
      <c r="AN5" s="157" t="s">
        <v>106</v>
      </c>
      <c r="AO5" s="243">
        <f>IF(AM5="","",IF(AM5&lt;'Treasurer table'!AL5,'Treasurer table'!AQ5,""))</f>
      </c>
      <c r="AP5" s="243"/>
      <c r="AQ5" s="243"/>
      <c r="AR5" s="244"/>
      <c r="AS5" s="257"/>
    </row>
    <row r="6" spans="1:45" s="154" customFormat="1" ht="15" customHeight="1">
      <c r="A6" s="148"/>
      <c r="B6" s="198" t="b">
        <v>0</v>
      </c>
      <c r="C6" s="155" t="s">
        <v>81</v>
      </c>
      <c r="D6" s="156">
        <f ca="1">IF(B6=TRUE,RAND(),"")</f>
      </c>
      <c r="E6" s="157" t="s">
        <v>106</v>
      </c>
      <c r="F6" s="231">
        <f ca="1">IF(D6="","",IF(D6&lt;'Treasurer table'!C6,RANDBETWEEN(1000,12000),""))</f>
      </c>
      <c r="G6" s="231"/>
      <c r="H6" s="232"/>
      <c r="I6" s="158">
        <f ca="1" t="shared" si="0"/>
      </c>
      <c r="J6" s="157" t="s">
        <v>106</v>
      </c>
      <c r="K6" s="231">
        <f ca="1">IF(I6="","",IF(I6&lt;'Treasurer table'!H6,RANDBETWEEN(1000,6000),""))</f>
      </c>
      <c r="L6" s="231"/>
      <c r="M6" s="232"/>
      <c r="N6" s="159">
        <f ca="1" t="shared" si="1"/>
      </c>
      <c r="O6" s="157" t="s">
        <v>106</v>
      </c>
      <c r="P6" s="231">
        <f ca="1">IF(N6="","",IF(N6&lt;'Treasurer table'!M6,RANDBETWEEN(1000,4000),""))</f>
      </c>
      <c r="Q6" s="231"/>
      <c r="R6" s="232"/>
      <c r="S6" s="162">
        <v>0</v>
      </c>
      <c r="T6" s="161" t="s">
        <v>106</v>
      </c>
      <c r="U6" s="233">
        <v>0</v>
      </c>
      <c r="V6" s="233"/>
      <c r="W6" s="234"/>
      <c r="X6" s="160">
        <v>0</v>
      </c>
      <c r="Y6" s="161" t="s">
        <v>106</v>
      </c>
      <c r="Z6" s="233">
        <v>0</v>
      </c>
      <c r="AA6" s="233"/>
      <c r="AB6" s="234"/>
      <c r="AC6" s="156">
        <f ca="1" t="shared" si="2"/>
      </c>
      <c r="AD6" s="157" t="s">
        <v>106</v>
      </c>
      <c r="AE6" s="231">
        <f ca="1">IF(AC6="","",IF(AC6&lt;'Treasurer table'!AB6,RANDBETWEEN(1,6),""))</f>
      </c>
      <c r="AF6" s="231"/>
      <c r="AG6" s="232"/>
      <c r="AH6" s="159">
        <f ca="1" t="shared" si="3"/>
      </c>
      <c r="AI6" s="157" t="s">
        <v>106</v>
      </c>
      <c r="AJ6" s="231">
        <f ca="1">IF(AH6="","",IF(AH6&lt;'Treasurer table'!AG6,RANDBETWEEN(1,3),""))</f>
      </c>
      <c r="AK6" s="231"/>
      <c r="AL6" s="232"/>
      <c r="AM6" s="158">
        <f ca="1" t="shared" si="4"/>
      </c>
      <c r="AN6" s="157" t="s">
        <v>106</v>
      </c>
      <c r="AO6" s="243">
        <f>IF(AM6="","",IF(AM6&lt;'Treasurer table'!AL6,'Treasurer table'!AQ6,""))</f>
      </c>
      <c r="AP6" s="243"/>
      <c r="AQ6" s="243"/>
      <c r="AR6" s="244"/>
      <c r="AS6" s="257"/>
    </row>
    <row r="7" spans="1:45" s="154" customFormat="1" ht="15" customHeight="1">
      <c r="A7" s="148"/>
      <c r="B7" s="198" t="b">
        <v>0</v>
      </c>
      <c r="C7" s="155" t="s">
        <v>82</v>
      </c>
      <c r="D7" s="156">
        <f ca="1">IF(B7=TRUE,RAND(),"")</f>
      </c>
      <c r="E7" s="157" t="s">
        <v>106</v>
      </c>
      <c r="F7" s="231">
        <f ca="1">IF(D7="","",IF(D7&lt;'Treasurer table'!C7,RANDBETWEEN(1000,8000),""))</f>
      </c>
      <c r="G7" s="231"/>
      <c r="H7" s="232"/>
      <c r="I7" s="158">
        <f ca="1" t="shared" si="0"/>
      </c>
      <c r="J7" s="157" t="s">
        <v>106</v>
      </c>
      <c r="K7" s="231">
        <f ca="1">IF(I7="","",IF(I7&lt;'Treasurer table'!H7,RANDBETWEEN(1000,12000),""))</f>
      </c>
      <c r="L7" s="231"/>
      <c r="M7" s="232"/>
      <c r="N7" s="159">
        <f ca="1" t="shared" si="1"/>
      </c>
      <c r="O7" s="157" t="s">
        <v>106</v>
      </c>
      <c r="P7" s="231">
        <f ca="1">IF(N7="","",IF(N7&lt;'Treasurer table'!M7,RANDBETWEEN(1000,8000),""))</f>
      </c>
      <c r="Q7" s="231"/>
      <c r="R7" s="232"/>
      <c r="S7" s="159">
        <f ca="1">IF(B7=TRUE,RAND(),"")</f>
      </c>
      <c r="T7" s="157" t="s">
        <v>106</v>
      </c>
      <c r="U7" s="231">
        <f ca="1">IF(S7="","",IF(S7&lt;'Treasurer table'!R7,RANDBETWEEN(1000,6000),""))</f>
      </c>
      <c r="V7" s="231"/>
      <c r="W7" s="232"/>
      <c r="X7" s="160">
        <v>0</v>
      </c>
      <c r="Y7" s="161" t="s">
        <v>106</v>
      </c>
      <c r="Z7" s="233">
        <v>0</v>
      </c>
      <c r="AA7" s="233"/>
      <c r="AB7" s="234"/>
      <c r="AC7" s="156">
        <f ca="1" t="shared" si="2"/>
      </c>
      <c r="AD7" s="157" t="s">
        <v>106</v>
      </c>
      <c r="AE7" s="231">
        <f ca="1">IF(AC7="","",IF(AC7&lt;'Treasurer table'!AB7,RANDBETWEEN(1,10),""))</f>
      </c>
      <c r="AF7" s="231"/>
      <c r="AG7" s="232"/>
      <c r="AH7" s="159">
        <f ca="1" t="shared" si="3"/>
      </c>
      <c r="AI7" s="157" t="s">
        <v>106</v>
      </c>
      <c r="AJ7" s="231">
        <f ca="1">IF(AH7="","",IF(AH7&lt;'Treasurer table'!AG7,RANDBETWEEN(1,6),""))</f>
      </c>
      <c r="AK7" s="231"/>
      <c r="AL7" s="232"/>
      <c r="AM7" s="158">
        <f ca="1" t="shared" si="4"/>
      </c>
      <c r="AN7" s="157" t="s">
        <v>106</v>
      </c>
      <c r="AO7" s="243">
        <f>IF(AM7="","",IF(AM7&lt;'Treasurer table'!AL7,'Treasurer table'!AQ7,""))</f>
      </c>
      <c r="AP7" s="243"/>
      <c r="AQ7" s="243"/>
      <c r="AR7" s="244"/>
      <c r="AS7" s="257"/>
    </row>
    <row r="8" spans="1:45" s="154" customFormat="1" ht="15" customHeight="1">
      <c r="A8" s="148"/>
      <c r="B8" s="198" t="b">
        <v>0</v>
      </c>
      <c r="C8" s="155" t="s">
        <v>83</v>
      </c>
      <c r="D8" s="156">
        <f ca="1">IF(B8=TRUE,RAND(),"")</f>
      </c>
      <c r="E8" s="157" t="s">
        <v>106</v>
      </c>
      <c r="F8" s="231">
        <f ca="1">IF(D8="","",IF(D8&lt;'Treasurer table'!C8,RANDBETWEEN(1000,10000),""))</f>
      </c>
      <c r="G8" s="231"/>
      <c r="H8" s="232"/>
      <c r="I8" s="158">
        <f ca="1" t="shared" si="0"/>
      </c>
      <c r="J8" s="157" t="s">
        <v>106</v>
      </c>
      <c r="K8" s="231">
        <f ca="1">IF(I8="","",IF(I8&lt;'Treasurer table'!H8,RANDBETWEEN(1000,12000),""))</f>
      </c>
      <c r="L8" s="231"/>
      <c r="M8" s="232"/>
      <c r="N8" s="159">
        <f ca="1" t="shared" si="1"/>
      </c>
      <c r="O8" s="157" t="s">
        <v>106</v>
      </c>
      <c r="P8" s="231">
        <f ca="1">IF(N8="","",IF(N8&lt;'Treasurer table'!M8,RANDBETWEEN(1000,6000),""))</f>
      </c>
      <c r="Q8" s="231"/>
      <c r="R8" s="232"/>
      <c r="S8" s="159">
        <f ca="1">IF(B8=TRUE,RAND(),"")</f>
      </c>
      <c r="T8" s="157" t="s">
        <v>106</v>
      </c>
      <c r="U8" s="231">
        <f ca="1">IF(S8="","",IF(S8&lt;'Treasurer table'!R8,RANDBETWEEN(1000,8000),""))</f>
      </c>
      <c r="V8" s="231"/>
      <c r="W8" s="232"/>
      <c r="X8" s="160">
        <v>0</v>
      </c>
      <c r="Y8" s="161" t="s">
        <v>106</v>
      </c>
      <c r="Z8" s="233">
        <v>0</v>
      </c>
      <c r="AA8" s="233"/>
      <c r="AB8" s="234"/>
      <c r="AC8" s="156">
        <f ca="1" t="shared" si="2"/>
      </c>
      <c r="AD8" s="157" t="s">
        <v>106</v>
      </c>
      <c r="AE8" s="231">
        <f ca="1">IF(AC8="","",IF(AC8&lt;'Treasurer table'!AB8,RANDBETWEEN(1,12),""))</f>
      </c>
      <c r="AF8" s="231"/>
      <c r="AG8" s="232"/>
      <c r="AH8" s="159">
        <f ca="1" t="shared" si="3"/>
      </c>
      <c r="AI8" s="157" t="s">
        <v>106</v>
      </c>
      <c r="AJ8" s="231">
        <f ca="1">IF(AH8="","",IF(AH8&lt;'Treasurer table'!AG8,RANDBETWEEN(1,8),""))</f>
      </c>
      <c r="AK8" s="231"/>
      <c r="AL8" s="232"/>
      <c r="AM8" s="158">
        <f ca="1" t="shared" si="4"/>
      </c>
      <c r="AN8" s="157" t="s">
        <v>106</v>
      </c>
      <c r="AO8" s="243">
        <f>IF(AM8="","",IF(AM8&lt;'Treasurer table'!AL8,'Treasurer table'!AQ8,""))</f>
      </c>
      <c r="AP8" s="243"/>
      <c r="AQ8" s="243"/>
      <c r="AR8" s="244"/>
      <c r="AS8" s="257"/>
    </row>
    <row r="9" spans="1:45" s="154" customFormat="1" ht="15" customHeight="1">
      <c r="A9" s="148"/>
      <c r="B9" s="198" t="b">
        <v>0</v>
      </c>
      <c r="C9" s="155" t="s">
        <v>84</v>
      </c>
      <c r="D9" s="163">
        <v>0</v>
      </c>
      <c r="E9" s="161" t="s">
        <v>106</v>
      </c>
      <c r="F9" s="233">
        <v>0</v>
      </c>
      <c r="G9" s="233"/>
      <c r="H9" s="234"/>
      <c r="I9" s="158">
        <f ca="1" t="shared" si="0"/>
      </c>
      <c r="J9" s="157" t="s">
        <v>106</v>
      </c>
      <c r="K9" s="231">
        <f ca="1">IF(I9="","",IF(I9&lt;'Treasurer table'!H9,RANDBETWEEN(1000,20000),""))</f>
      </c>
      <c r="L9" s="231"/>
      <c r="M9" s="232"/>
      <c r="N9" s="159">
        <f ca="1" t="shared" si="1"/>
      </c>
      <c r="O9" s="157" t="s">
        <v>106</v>
      </c>
      <c r="P9" s="231">
        <f ca="1">IF(N9="","",IF(N9&lt;'Treasurer table'!M9,RANDBETWEEN(1000,12000),""))</f>
      </c>
      <c r="Q9" s="231"/>
      <c r="R9" s="232"/>
      <c r="S9" s="159">
        <f ca="1">IF(B9=TRUE,RAND(),"")</f>
      </c>
      <c r="T9" s="157" t="s">
        <v>106</v>
      </c>
      <c r="U9" s="231">
        <f ca="1">IF(S9="","",IF(S9&lt;'Treasurer table'!R9,RANDBETWEEN(1000,10000),""))</f>
      </c>
      <c r="V9" s="231"/>
      <c r="W9" s="232"/>
      <c r="X9" s="158">
        <f ca="1">IF(B9=TRUE,RAND(),"")</f>
      </c>
      <c r="Y9" s="157" t="s">
        <v>106</v>
      </c>
      <c r="Z9" s="231">
        <f ca="1">IF(X9="","",IF(X9&lt;'Treasurer table'!W9,RANDBETWEEN(1000,8000),""))</f>
      </c>
      <c r="AA9" s="231"/>
      <c r="AB9" s="232"/>
      <c r="AC9" s="156">
        <f ca="1" t="shared" si="2"/>
      </c>
      <c r="AD9" s="157" t="s">
        <v>106</v>
      </c>
      <c r="AE9" s="231">
        <f ca="1">IF(AC9="","",IF(AC9&lt;'Treasurer table'!AB9,RANDBETWEEN(3,30),""))</f>
      </c>
      <c r="AF9" s="231"/>
      <c r="AG9" s="232"/>
      <c r="AH9" s="159">
        <f ca="1" t="shared" si="3"/>
      </c>
      <c r="AI9" s="157" t="s">
        <v>106</v>
      </c>
      <c r="AJ9" s="231">
        <f ca="1">IF(AH9="","",IF(AH9&lt;'Treasurer table'!AG9,RANDBETWEEN(1,10),""))</f>
      </c>
      <c r="AK9" s="231"/>
      <c r="AL9" s="232"/>
      <c r="AM9" s="158">
        <f ca="1" t="shared" si="4"/>
      </c>
      <c r="AN9" s="157" t="s">
        <v>106</v>
      </c>
      <c r="AO9" s="243">
        <f>IF(AM9="","",IF(AM9&lt;'Treasurer table'!AL9,'Treasurer table'!AQ9,""))</f>
      </c>
      <c r="AP9" s="243"/>
      <c r="AQ9" s="243"/>
      <c r="AR9" s="244"/>
      <c r="AS9" s="257"/>
    </row>
    <row r="10" spans="1:45" s="154" customFormat="1" ht="15" customHeight="1">
      <c r="A10" s="148"/>
      <c r="B10" s="198" t="b">
        <v>0</v>
      </c>
      <c r="C10" s="155" t="s">
        <v>85</v>
      </c>
      <c r="D10" s="163">
        <v>0</v>
      </c>
      <c r="E10" s="161" t="s">
        <v>106</v>
      </c>
      <c r="F10" s="233">
        <v>0</v>
      </c>
      <c r="G10" s="233"/>
      <c r="H10" s="234"/>
      <c r="I10" s="160">
        <v>0</v>
      </c>
      <c r="J10" s="161" t="s">
        <v>106</v>
      </c>
      <c r="K10" s="233">
        <v>0</v>
      </c>
      <c r="L10" s="233"/>
      <c r="M10" s="234"/>
      <c r="N10" s="162">
        <v>0</v>
      </c>
      <c r="O10" s="161" t="s">
        <v>106</v>
      </c>
      <c r="P10" s="233">
        <v>0</v>
      </c>
      <c r="Q10" s="233"/>
      <c r="R10" s="234"/>
      <c r="S10" s="159">
        <f ca="1">IF(B10=TRUE,RAND(),"")</f>
      </c>
      <c r="T10" s="157" t="s">
        <v>106</v>
      </c>
      <c r="U10" s="231">
        <f ca="1">IF(S10="","",IF(S10&lt;'Treasurer table'!R10,RANDBETWEEN(10000,40000),""))</f>
      </c>
      <c r="V10" s="231"/>
      <c r="W10" s="232"/>
      <c r="X10" s="158">
        <f ca="1">IF(B10=TRUE,RAND(),"")</f>
      </c>
      <c r="Y10" s="157" t="s">
        <v>106</v>
      </c>
      <c r="Z10" s="231">
        <f ca="1">IF(X10="","",IF(X10&lt;'Treasurer table'!W10,RANDBETWEEN(1000,20000),""))</f>
      </c>
      <c r="AA10" s="231"/>
      <c r="AB10" s="232"/>
      <c r="AC10" s="156">
        <f ca="1" t="shared" si="2"/>
      </c>
      <c r="AD10" s="157" t="s">
        <v>106</v>
      </c>
      <c r="AE10" s="231">
        <f ca="1">IF(AC10="","",IF(AC10&lt;'Treasurer table'!AB10,RANDBETWEEN(5,20),""))</f>
      </c>
      <c r="AF10" s="231"/>
      <c r="AG10" s="232"/>
      <c r="AH10" s="159">
        <f ca="1" t="shared" si="3"/>
      </c>
      <c r="AI10" s="157" t="s">
        <v>106</v>
      </c>
      <c r="AJ10" s="231">
        <f ca="1">IF(AH10="","",IF(AH10&lt;'Treasurer table'!AG10,RANDBETWEEN(1,10),""))</f>
      </c>
      <c r="AK10" s="231"/>
      <c r="AL10" s="232"/>
      <c r="AM10" s="158">
        <f ca="1" t="shared" si="4"/>
      </c>
      <c r="AN10" s="157" t="s">
        <v>106</v>
      </c>
      <c r="AO10" s="243">
        <f>IF(AM10="","",IF(AM10&lt;'Treasurer table'!AL10,'Treasurer table'!AQ10,""))</f>
      </c>
      <c r="AP10" s="243"/>
      <c r="AQ10" s="243"/>
      <c r="AR10" s="244"/>
      <c r="AS10" s="257"/>
    </row>
    <row r="11" spans="1:45" s="154" customFormat="1" ht="15" customHeight="1">
      <c r="A11" s="148"/>
      <c r="B11" s="198" t="b">
        <v>0</v>
      </c>
      <c r="C11" s="155" t="s">
        <v>86</v>
      </c>
      <c r="D11" s="156">
        <f ca="1">IF(B11=TRUE,RAND(),"")</f>
      </c>
      <c r="E11" s="157" t="s">
        <v>106</v>
      </c>
      <c r="F11" s="231">
        <f ca="1">IF(D11="","",IF(D11&lt;'Treasurer table'!C11,RANDBETWEEN(5000,30000),""))</f>
      </c>
      <c r="G11" s="231"/>
      <c r="H11" s="232"/>
      <c r="I11" s="158">
        <f ca="1">IF(B11=TRUE,RAND(),"")</f>
      </c>
      <c r="J11" s="157" t="s">
        <v>106</v>
      </c>
      <c r="K11" s="231">
        <f ca="1">IF(I11="","",IF(I11&lt;'Treasurer table'!H11,RANDBETWEEN(1000,100000),""))</f>
      </c>
      <c r="L11" s="231"/>
      <c r="M11" s="232"/>
      <c r="N11" s="159">
        <f ca="1">IF(B11=TRUE,RAND(),"")</f>
      </c>
      <c r="O11" s="157" t="s">
        <v>106</v>
      </c>
      <c r="P11" s="231">
        <f ca="1">IF(N11="","",IF(N11&lt;'Treasurer table'!M11,RANDBETWEEN(10000,40000),""))</f>
      </c>
      <c r="Q11" s="231"/>
      <c r="R11" s="232"/>
      <c r="S11" s="159">
        <f ca="1">IF(B11=TRUE,RAND(),"")</f>
      </c>
      <c r="T11" s="157" t="s">
        <v>106</v>
      </c>
      <c r="U11" s="231">
        <f ca="1">IF(S11="","",IF(S11&lt;'Treasurer table'!R11,RANDBETWEEN(10000,60000),""))</f>
      </c>
      <c r="V11" s="231"/>
      <c r="W11" s="232"/>
      <c r="X11" s="158">
        <f ca="1">IF(B11=TRUE,RAND(),"")</f>
      </c>
      <c r="Y11" s="157" t="s">
        <v>106</v>
      </c>
      <c r="Z11" s="231">
        <f ca="1">IF(X11="","",IF(X11&lt;'Treasurer table'!W11,RANDBETWEEN(5000,50000),""))</f>
      </c>
      <c r="AA11" s="231"/>
      <c r="AB11" s="232"/>
      <c r="AC11" s="156">
        <f ca="1" t="shared" si="2"/>
      </c>
      <c r="AD11" s="157" t="s">
        <v>106</v>
      </c>
      <c r="AE11" s="231">
        <f ca="1">IF(AC11="","",IF(AC11&lt;'Treasurer table'!AB11,RANDBETWEEN(2,100),""))</f>
      </c>
      <c r="AF11" s="231"/>
      <c r="AG11" s="232"/>
      <c r="AH11" s="159">
        <f ca="1" t="shared" si="3"/>
      </c>
      <c r="AI11" s="157" t="s">
        <v>106</v>
      </c>
      <c r="AJ11" s="231">
        <f ca="1">IF(AH11="","",IF(AH11&lt;'Treasurer table'!AG11,RANDBETWEEN(10,40),""))</f>
      </c>
      <c r="AK11" s="231"/>
      <c r="AL11" s="232"/>
      <c r="AM11" s="158">
        <f ca="1" t="shared" si="4"/>
      </c>
      <c r="AN11" s="157" t="s">
        <v>106</v>
      </c>
      <c r="AO11" s="243">
        <f>IF(AM11="","",IF(AM11&lt;'Treasurer table'!AL11,'Treasurer table'!AQ11,""))</f>
      </c>
      <c r="AP11" s="243"/>
      <c r="AQ11" s="243"/>
      <c r="AR11" s="244"/>
      <c r="AS11" s="257"/>
    </row>
    <row r="12" spans="1:45" s="154" customFormat="1" ht="15" customHeight="1" thickBot="1">
      <c r="A12" s="148"/>
      <c r="B12" s="198" t="b">
        <v>0</v>
      </c>
      <c r="C12" s="164" t="s">
        <v>87</v>
      </c>
      <c r="D12" s="165">
        <v>0</v>
      </c>
      <c r="E12" s="166" t="s">
        <v>106</v>
      </c>
      <c r="F12" s="241">
        <v>0</v>
      </c>
      <c r="G12" s="241"/>
      <c r="H12" s="242"/>
      <c r="I12" s="167">
        <v>0</v>
      </c>
      <c r="J12" s="166" t="s">
        <v>106</v>
      </c>
      <c r="K12" s="241">
        <v>0</v>
      </c>
      <c r="L12" s="241"/>
      <c r="M12" s="242"/>
      <c r="N12" s="168">
        <v>0</v>
      </c>
      <c r="O12" s="166" t="s">
        <v>106</v>
      </c>
      <c r="P12" s="241">
        <v>0</v>
      </c>
      <c r="Q12" s="241"/>
      <c r="R12" s="242"/>
      <c r="S12" s="168">
        <v>0</v>
      </c>
      <c r="T12" s="166" t="s">
        <v>106</v>
      </c>
      <c r="U12" s="241">
        <v>0</v>
      </c>
      <c r="V12" s="241"/>
      <c r="W12" s="242"/>
      <c r="X12" s="169">
        <f ca="1">IF(B12=TRUE,RAND(),"")</f>
      </c>
      <c r="Y12" s="170" t="s">
        <v>106</v>
      </c>
      <c r="Z12" s="237">
        <f ca="1">IF(X12="","",IF(X12&lt;'Treasurer table'!W12,RANDBETWEEN(3000,18000),""))</f>
      </c>
      <c r="AA12" s="237"/>
      <c r="AB12" s="238"/>
      <c r="AC12" s="171">
        <f ca="1" t="shared" si="2"/>
      </c>
      <c r="AD12" s="170" t="s">
        <v>106</v>
      </c>
      <c r="AE12" s="237">
        <f ca="1">IF(AC12="","",IF(AC12&lt;'Treasurer table'!AB12,RANDBETWEEN(2,20),""))</f>
      </c>
      <c r="AF12" s="237"/>
      <c r="AG12" s="238"/>
      <c r="AH12" s="172">
        <f ca="1" t="shared" si="3"/>
      </c>
      <c r="AI12" s="170" t="s">
        <v>106</v>
      </c>
      <c r="AJ12" s="237">
        <f ca="1">IF(AH12="","",IF(AH12&lt;'Treasurer table'!AG12,RANDBETWEEN(1,12),""))</f>
      </c>
      <c r="AK12" s="237"/>
      <c r="AL12" s="238"/>
      <c r="AM12" s="169">
        <f ca="1" t="shared" si="4"/>
      </c>
      <c r="AN12" s="170" t="s">
        <v>106</v>
      </c>
      <c r="AO12" s="266">
        <f>IF(AM12="","",IF(AM12&lt;'Treasurer table'!AL12,'Treasurer table'!AQ12,""))</f>
      </c>
      <c r="AP12" s="266"/>
      <c r="AQ12" s="266"/>
      <c r="AR12" s="267"/>
      <c r="AS12" s="258"/>
    </row>
    <row r="13" spans="1:45" s="154" customFormat="1" ht="15" customHeight="1">
      <c r="A13" s="148"/>
      <c r="B13" s="198" t="b">
        <v>0</v>
      </c>
      <c r="C13" s="173" t="s">
        <v>88</v>
      </c>
      <c r="D13" s="174">
        <f>IF(B13=TRUE,1,"")</f>
      </c>
      <c r="E13" s="175" t="s">
        <v>106</v>
      </c>
      <c r="F13" s="270">
        <f ca="1">IF(D13=1,IF(D13='Treasurer table'!C13,RANDBETWEEN(3,24),""),"")</f>
      </c>
      <c r="G13" s="270"/>
      <c r="H13" s="271"/>
      <c r="I13" s="176">
        <v>0</v>
      </c>
      <c r="J13" s="177" t="s">
        <v>106</v>
      </c>
      <c r="K13" s="235">
        <v>0</v>
      </c>
      <c r="L13" s="235"/>
      <c r="M13" s="236"/>
      <c r="N13" s="178">
        <v>0</v>
      </c>
      <c r="O13" s="177" t="s">
        <v>106</v>
      </c>
      <c r="P13" s="235">
        <v>0</v>
      </c>
      <c r="Q13" s="235"/>
      <c r="R13" s="236"/>
      <c r="S13" s="178">
        <v>0</v>
      </c>
      <c r="T13" s="177" t="s">
        <v>106</v>
      </c>
      <c r="U13" s="235">
        <v>0</v>
      </c>
      <c r="V13" s="235"/>
      <c r="W13" s="236"/>
      <c r="X13" s="176">
        <v>0</v>
      </c>
      <c r="Y13" s="177" t="s">
        <v>106</v>
      </c>
      <c r="Z13" s="235">
        <v>0</v>
      </c>
      <c r="AA13" s="235"/>
      <c r="AB13" s="236"/>
      <c r="AC13" s="179">
        <v>0</v>
      </c>
      <c r="AD13" s="177" t="s">
        <v>106</v>
      </c>
      <c r="AE13" s="235">
        <v>0</v>
      </c>
      <c r="AF13" s="235"/>
      <c r="AG13" s="236"/>
      <c r="AH13" s="178">
        <v>0</v>
      </c>
      <c r="AI13" s="177" t="s">
        <v>106</v>
      </c>
      <c r="AJ13" s="235">
        <v>0</v>
      </c>
      <c r="AK13" s="235"/>
      <c r="AL13" s="236"/>
      <c r="AM13" s="176">
        <v>0</v>
      </c>
      <c r="AN13" s="177" t="s">
        <v>106</v>
      </c>
      <c r="AO13" s="245"/>
      <c r="AP13" s="245"/>
      <c r="AQ13" s="245"/>
      <c r="AR13" s="246"/>
      <c r="AS13" s="259" t="s">
        <v>112</v>
      </c>
    </row>
    <row r="14" spans="1:45" s="154" customFormat="1" ht="15" customHeight="1">
      <c r="A14" s="148"/>
      <c r="B14" s="198" t="b">
        <v>0</v>
      </c>
      <c r="C14" s="155" t="s">
        <v>89</v>
      </c>
      <c r="D14" s="163">
        <v>0</v>
      </c>
      <c r="E14" s="161" t="s">
        <v>106</v>
      </c>
      <c r="F14" s="233">
        <v>0</v>
      </c>
      <c r="G14" s="233"/>
      <c r="H14" s="234"/>
      <c r="I14" s="158">
        <f>IF(B14=TRUE,1,"")</f>
      </c>
      <c r="J14" s="157" t="s">
        <v>106</v>
      </c>
      <c r="K14" s="231">
        <f ca="1">IF(I14=1,IF(I14='Treasurer table'!H14,RANDBETWEEN(3,18),""),"")</f>
      </c>
      <c r="L14" s="231"/>
      <c r="M14" s="232"/>
      <c r="N14" s="162">
        <v>0</v>
      </c>
      <c r="O14" s="161" t="s">
        <v>106</v>
      </c>
      <c r="P14" s="233">
        <v>0</v>
      </c>
      <c r="Q14" s="233"/>
      <c r="R14" s="234"/>
      <c r="S14" s="162">
        <v>0</v>
      </c>
      <c r="T14" s="161" t="s">
        <v>106</v>
      </c>
      <c r="U14" s="233">
        <v>0</v>
      </c>
      <c r="V14" s="233"/>
      <c r="W14" s="234"/>
      <c r="X14" s="160">
        <v>0</v>
      </c>
      <c r="Y14" s="161" t="s">
        <v>106</v>
      </c>
      <c r="Z14" s="233">
        <v>0</v>
      </c>
      <c r="AA14" s="233"/>
      <c r="AB14" s="234"/>
      <c r="AC14" s="163">
        <v>0</v>
      </c>
      <c r="AD14" s="161" t="s">
        <v>106</v>
      </c>
      <c r="AE14" s="233">
        <v>0</v>
      </c>
      <c r="AF14" s="233"/>
      <c r="AG14" s="234"/>
      <c r="AH14" s="162">
        <v>0</v>
      </c>
      <c r="AI14" s="161" t="s">
        <v>106</v>
      </c>
      <c r="AJ14" s="233">
        <v>0</v>
      </c>
      <c r="AK14" s="233"/>
      <c r="AL14" s="234"/>
      <c r="AM14" s="160">
        <v>0</v>
      </c>
      <c r="AN14" s="161" t="s">
        <v>106</v>
      </c>
      <c r="AO14" s="239"/>
      <c r="AP14" s="239"/>
      <c r="AQ14" s="239"/>
      <c r="AR14" s="240"/>
      <c r="AS14" s="260"/>
    </row>
    <row r="15" spans="1:45" s="154" customFormat="1" ht="15" customHeight="1">
      <c r="A15" s="148"/>
      <c r="B15" s="198" t="b">
        <v>0</v>
      </c>
      <c r="C15" s="155" t="s">
        <v>90</v>
      </c>
      <c r="D15" s="163">
        <v>0</v>
      </c>
      <c r="E15" s="161" t="s">
        <v>106</v>
      </c>
      <c r="F15" s="233">
        <v>0</v>
      </c>
      <c r="G15" s="233"/>
      <c r="H15" s="234"/>
      <c r="I15" s="160">
        <v>0</v>
      </c>
      <c r="J15" s="161" t="s">
        <v>106</v>
      </c>
      <c r="K15" s="233">
        <v>0</v>
      </c>
      <c r="L15" s="233"/>
      <c r="M15" s="234"/>
      <c r="N15" s="159">
        <f>IF(B15=TRUE,1,"")</f>
      </c>
      <c r="O15" s="157" t="s">
        <v>106</v>
      </c>
      <c r="P15" s="231">
        <f ca="1">IF(N15=1,IF(N15='Treasurer table'!M15,RANDBETWEEN(2,12),""),"")</f>
      </c>
      <c r="Q15" s="231"/>
      <c r="R15" s="232"/>
      <c r="S15" s="162">
        <v>0</v>
      </c>
      <c r="T15" s="161" t="s">
        <v>106</v>
      </c>
      <c r="U15" s="233">
        <v>0</v>
      </c>
      <c r="V15" s="233"/>
      <c r="W15" s="234"/>
      <c r="X15" s="160">
        <v>0</v>
      </c>
      <c r="Y15" s="161" t="s">
        <v>106</v>
      </c>
      <c r="Z15" s="233">
        <v>0</v>
      </c>
      <c r="AA15" s="233"/>
      <c r="AB15" s="234"/>
      <c r="AC15" s="163">
        <v>0</v>
      </c>
      <c r="AD15" s="161" t="s">
        <v>106</v>
      </c>
      <c r="AE15" s="233">
        <v>0</v>
      </c>
      <c r="AF15" s="233"/>
      <c r="AG15" s="234"/>
      <c r="AH15" s="162">
        <v>0</v>
      </c>
      <c r="AI15" s="161" t="s">
        <v>106</v>
      </c>
      <c r="AJ15" s="233">
        <v>0</v>
      </c>
      <c r="AK15" s="233"/>
      <c r="AL15" s="234"/>
      <c r="AM15" s="160">
        <v>0</v>
      </c>
      <c r="AN15" s="161" t="s">
        <v>106</v>
      </c>
      <c r="AO15" s="239"/>
      <c r="AP15" s="239"/>
      <c r="AQ15" s="239"/>
      <c r="AR15" s="240"/>
      <c r="AS15" s="260"/>
    </row>
    <row r="16" spans="1:45" s="154" customFormat="1" ht="15" customHeight="1">
      <c r="A16" s="148"/>
      <c r="B16" s="198" t="b">
        <v>0</v>
      </c>
      <c r="C16" s="155" t="s">
        <v>91</v>
      </c>
      <c r="D16" s="163">
        <v>0</v>
      </c>
      <c r="E16" s="161" t="s">
        <v>106</v>
      </c>
      <c r="F16" s="233">
        <v>0</v>
      </c>
      <c r="G16" s="233"/>
      <c r="H16" s="234"/>
      <c r="I16" s="160">
        <v>0</v>
      </c>
      <c r="J16" s="161" t="s">
        <v>106</v>
      </c>
      <c r="K16" s="233">
        <v>0</v>
      </c>
      <c r="L16" s="233"/>
      <c r="M16" s="234"/>
      <c r="N16" s="162">
        <v>0</v>
      </c>
      <c r="O16" s="161" t="s">
        <v>106</v>
      </c>
      <c r="P16" s="233">
        <v>0</v>
      </c>
      <c r="Q16" s="233"/>
      <c r="R16" s="234"/>
      <c r="S16" s="159">
        <f>IF(B16=TRUE,1,"")</f>
      </c>
      <c r="T16" s="157" t="s">
        <v>106</v>
      </c>
      <c r="U16" s="231">
        <f ca="1">IF(S16=1,IF(S16='Treasurer table'!R16,RANDBETWEEN(2,8),""),"")</f>
      </c>
      <c r="V16" s="231"/>
      <c r="W16" s="232"/>
      <c r="X16" s="160">
        <v>0</v>
      </c>
      <c r="Y16" s="161" t="s">
        <v>106</v>
      </c>
      <c r="Z16" s="233">
        <v>0</v>
      </c>
      <c r="AA16" s="233"/>
      <c r="AB16" s="234"/>
      <c r="AC16" s="163">
        <v>0</v>
      </c>
      <c r="AD16" s="161" t="s">
        <v>106</v>
      </c>
      <c r="AE16" s="233">
        <v>0</v>
      </c>
      <c r="AF16" s="233"/>
      <c r="AG16" s="234"/>
      <c r="AH16" s="162">
        <v>0</v>
      </c>
      <c r="AI16" s="161" t="s">
        <v>106</v>
      </c>
      <c r="AJ16" s="233">
        <v>0</v>
      </c>
      <c r="AK16" s="233"/>
      <c r="AL16" s="234"/>
      <c r="AM16" s="160">
        <v>0</v>
      </c>
      <c r="AN16" s="161" t="s">
        <v>106</v>
      </c>
      <c r="AO16" s="239"/>
      <c r="AP16" s="239"/>
      <c r="AQ16" s="239"/>
      <c r="AR16" s="240"/>
      <c r="AS16" s="260"/>
    </row>
    <row r="17" spans="1:45" s="154" customFormat="1" ht="15" customHeight="1">
      <c r="A17" s="148"/>
      <c r="B17" s="198" t="b">
        <v>0</v>
      </c>
      <c r="C17" s="155" t="s">
        <v>92</v>
      </c>
      <c r="D17" s="163">
        <v>0</v>
      </c>
      <c r="E17" s="161" t="s">
        <v>106</v>
      </c>
      <c r="F17" s="233">
        <v>0</v>
      </c>
      <c r="G17" s="233"/>
      <c r="H17" s="234"/>
      <c r="I17" s="160">
        <v>0</v>
      </c>
      <c r="J17" s="161" t="s">
        <v>106</v>
      </c>
      <c r="K17" s="233">
        <v>0</v>
      </c>
      <c r="L17" s="233"/>
      <c r="M17" s="234"/>
      <c r="N17" s="162">
        <v>0</v>
      </c>
      <c r="O17" s="161" t="s">
        <v>106</v>
      </c>
      <c r="P17" s="233">
        <v>0</v>
      </c>
      <c r="Q17" s="233"/>
      <c r="R17" s="234"/>
      <c r="S17" s="162">
        <v>0</v>
      </c>
      <c r="T17" s="161" t="s">
        <v>106</v>
      </c>
      <c r="U17" s="233">
        <v>0</v>
      </c>
      <c r="V17" s="233"/>
      <c r="W17" s="234"/>
      <c r="X17" s="159">
        <f>IF(B17=TRUE,1,"")</f>
      </c>
      <c r="Y17" s="157" t="s">
        <v>106</v>
      </c>
      <c r="Z17" s="231">
        <f ca="1">IF(X17=1,IF(X17='Treasurer table'!W17,RANDBETWEEN(1,6),""),"")</f>
      </c>
      <c r="AA17" s="231"/>
      <c r="AB17" s="232"/>
      <c r="AC17" s="163">
        <v>0</v>
      </c>
      <c r="AD17" s="161" t="s">
        <v>106</v>
      </c>
      <c r="AE17" s="233">
        <v>0</v>
      </c>
      <c r="AF17" s="233"/>
      <c r="AG17" s="234"/>
      <c r="AH17" s="162">
        <v>0</v>
      </c>
      <c r="AI17" s="161" t="s">
        <v>106</v>
      </c>
      <c r="AJ17" s="233">
        <v>0</v>
      </c>
      <c r="AK17" s="233"/>
      <c r="AL17" s="234"/>
      <c r="AM17" s="160">
        <v>0</v>
      </c>
      <c r="AN17" s="161" t="s">
        <v>106</v>
      </c>
      <c r="AO17" s="239"/>
      <c r="AP17" s="239"/>
      <c r="AQ17" s="239"/>
      <c r="AR17" s="240"/>
      <c r="AS17" s="260"/>
    </row>
    <row r="18" spans="1:45" s="154" customFormat="1" ht="15" customHeight="1">
      <c r="A18" s="148"/>
      <c r="B18" s="198" t="b">
        <v>0</v>
      </c>
      <c r="C18" s="155" t="s">
        <v>93</v>
      </c>
      <c r="D18" s="156">
        <f ca="1">IF(B18=TRUE,RAND(),"")</f>
      </c>
      <c r="E18" s="157" t="s">
        <v>106</v>
      </c>
      <c r="F18" s="231">
        <f ca="1">IF(D18="","",IF(D18&lt;'Treasurer table'!C18,RANDBETWEEN(1,4),""))</f>
      </c>
      <c r="G18" s="231"/>
      <c r="H18" s="232"/>
      <c r="I18" s="158">
        <f ca="1">IF(B18=TRUE,RAND(),"")</f>
      </c>
      <c r="J18" s="157" t="s">
        <v>106</v>
      </c>
      <c r="K18" s="231">
        <f ca="1">IF(I18="","",IF(I18&lt;'Treasurer table'!H18,RANDBETWEEN(1,3),""))</f>
      </c>
      <c r="L18" s="231"/>
      <c r="M18" s="232"/>
      <c r="N18" s="162">
        <v>0</v>
      </c>
      <c r="O18" s="161" t="s">
        <v>106</v>
      </c>
      <c r="P18" s="233">
        <v>0</v>
      </c>
      <c r="Q18" s="233"/>
      <c r="R18" s="234"/>
      <c r="S18" s="162">
        <v>0</v>
      </c>
      <c r="T18" s="161" t="s">
        <v>106</v>
      </c>
      <c r="U18" s="233">
        <v>0</v>
      </c>
      <c r="V18" s="233"/>
      <c r="W18" s="234"/>
      <c r="X18" s="160">
        <v>0</v>
      </c>
      <c r="Y18" s="161" t="s">
        <v>106</v>
      </c>
      <c r="Z18" s="233">
        <v>0</v>
      </c>
      <c r="AA18" s="233"/>
      <c r="AB18" s="234"/>
      <c r="AC18" s="163">
        <v>0</v>
      </c>
      <c r="AD18" s="161" t="s">
        <v>106</v>
      </c>
      <c r="AE18" s="233">
        <v>0</v>
      </c>
      <c r="AF18" s="233"/>
      <c r="AG18" s="234"/>
      <c r="AH18" s="162">
        <v>0</v>
      </c>
      <c r="AI18" s="161" t="s">
        <v>106</v>
      </c>
      <c r="AJ18" s="233">
        <v>0</v>
      </c>
      <c r="AK18" s="233"/>
      <c r="AL18" s="234"/>
      <c r="AM18" s="160">
        <v>0</v>
      </c>
      <c r="AN18" s="161" t="s">
        <v>106</v>
      </c>
      <c r="AO18" s="239"/>
      <c r="AP18" s="239"/>
      <c r="AQ18" s="239"/>
      <c r="AR18" s="240"/>
      <c r="AS18" s="260"/>
    </row>
    <row r="19" spans="1:45" s="154" customFormat="1" ht="15" customHeight="1">
      <c r="A19" s="148"/>
      <c r="B19" s="198" t="b">
        <v>0</v>
      </c>
      <c r="C19" s="155" t="s">
        <v>94</v>
      </c>
      <c r="D19" s="163">
        <v>0</v>
      </c>
      <c r="E19" s="161" t="s">
        <v>106</v>
      </c>
      <c r="F19" s="233">
        <v>0</v>
      </c>
      <c r="G19" s="233"/>
      <c r="H19" s="234"/>
      <c r="I19" s="158">
        <f ca="1">IF(B19=TRUE,RAND(),"")</f>
      </c>
      <c r="J19" s="157" t="s">
        <v>106</v>
      </c>
      <c r="K19" s="231">
        <f ca="1">IF(I19="","",IF(I19&lt;'Treasurer table'!H19,RANDBETWEEN(1,6),""))</f>
      </c>
      <c r="L19" s="231"/>
      <c r="M19" s="232"/>
      <c r="N19" s="159">
        <f ca="1">IF(B19=TRUE,RAND(),"")</f>
      </c>
      <c r="O19" s="157" t="s">
        <v>106</v>
      </c>
      <c r="P19" s="231">
        <f ca="1">IF(N19="","",IF(N19&lt;'Treasurer table'!M19,RANDBETWEEN(1,2),""))</f>
      </c>
      <c r="Q19" s="231"/>
      <c r="R19" s="232"/>
      <c r="S19" s="162">
        <v>0</v>
      </c>
      <c r="T19" s="161" t="s">
        <v>106</v>
      </c>
      <c r="U19" s="233">
        <v>0</v>
      </c>
      <c r="V19" s="233"/>
      <c r="W19" s="234"/>
      <c r="X19" s="160">
        <v>0</v>
      </c>
      <c r="Y19" s="161" t="s">
        <v>106</v>
      </c>
      <c r="Z19" s="233">
        <v>0</v>
      </c>
      <c r="AA19" s="233"/>
      <c r="AB19" s="234"/>
      <c r="AC19" s="163">
        <v>0</v>
      </c>
      <c r="AD19" s="161" t="s">
        <v>106</v>
      </c>
      <c r="AE19" s="233">
        <v>0</v>
      </c>
      <c r="AF19" s="233"/>
      <c r="AG19" s="234"/>
      <c r="AH19" s="162">
        <v>0</v>
      </c>
      <c r="AI19" s="161" t="s">
        <v>106</v>
      </c>
      <c r="AJ19" s="233">
        <v>0</v>
      </c>
      <c r="AK19" s="233"/>
      <c r="AL19" s="234"/>
      <c r="AM19" s="160">
        <v>0</v>
      </c>
      <c r="AN19" s="161" t="s">
        <v>106</v>
      </c>
      <c r="AO19" s="239"/>
      <c r="AP19" s="239"/>
      <c r="AQ19" s="239"/>
      <c r="AR19" s="240"/>
      <c r="AS19" s="260"/>
    </row>
    <row r="20" spans="1:45" s="154" customFormat="1" ht="15" customHeight="1">
      <c r="A20" s="148"/>
      <c r="B20" s="198" t="b">
        <v>0</v>
      </c>
      <c r="C20" s="155" t="s">
        <v>95</v>
      </c>
      <c r="D20" s="163">
        <v>0</v>
      </c>
      <c r="E20" s="161" t="s">
        <v>106</v>
      </c>
      <c r="F20" s="233">
        <v>0</v>
      </c>
      <c r="G20" s="233"/>
      <c r="H20" s="234"/>
      <c r="I20" s="160">
        <v>0</v>
      </c>
      <c r="J20" s="161" t="s">
        <v>106</v>
      </c>
      <c r="K20" s="233">
        <v>0</v>
      </c>
      <c r="L20" s="233"/>
      <c r="M20" s="234"/>
      <c r="N20" s="162">
        <v>0</v>
      </c>
      <c r="O20" s="161" t="s">
        <v>106</v>
      </c>
      <c r="P20" s="233">
        <v>0</v>
      </c>
      <c r="Q20" s="233"/>
      <c r="R20" s="234"/>
      <c r="S20" s="162">
        <v>0</v>
      </c>
      <c r="T20" s="161" t="s">
        <v>106</v>
      </c>
      <c r="U20" s="233">
        <v>0</v>
      </c>
      <c r="V20" s="233"/>
      <c r="W20" s="234"/>
      <c r="X20" s="160">
        <v>0</v>
      </c>
      <c r="Y20" s="161" t="s">
        <v>106</v>
      </c>
      <c r="Z20" s="233">
        <v>0</v>
      </c>
      <c r="AA20" s="233"/>
      <c r="AB20" s="234"/>
      <c r="AC20" s="156">
        <f ca="1">IF(B20=TRUE,RAND(),"")</f>
      </c>
      <c r="AD20" s="157" t="s">
        <v>106</v>
      </c>
      <c r="AE20" s="231">
        <f ca="1">IF(AC20="","",IF(AC20&lt;'Treasurer table'!AB20,RANDBETWEEN(1,4),""))</f>
      </c>
      <c r="AF20" s="231"/>
      <c r="AG20" s="232"/>
      <c r="AH20" s="162">
        <v>0</v>
      </c>
      <c r="AI20" s="161" t="s">
        <v>106</v>
      </c>
      <c r="AJ20" s="233">
        <v>0</v>
      </c>
      <c r="AK20" s="233"/>
      <c r="AL20" s="234"/>
      <c r="AM20" s="160">
        <v>0</v>
      </c>
      <c r="AN20" s="161" t="s">
        <v>106</v>
      </c>
      <c r="AO20" s="239"/>
      <c r="AP20" s="239"/>
      <c r="AQ20" s="239"/>
      <c r="AR20" s="240"/>
      <c r="AS20" s="260"/>
    </row>
    <row r="21" spans="1:45" s="154" customFormat="1" ht="15" customHeight="1">
      <c r="A21" s="148"/>
      <c r="B21" s="198" t="b">
        <v>0</v>
      </c>
      <c r="C21" s="155" t="s">
        <v>96</v>
      </c>
      <c r="D21" s="163">
        <v>0</v>
      </c>
      <c r="E21" s="161" t="s">
        <v>106</v>
      </c>
      <c r="F21" s="233">
        <v>0</v>
      </c>
      <c r="G21" s="233"/>
      <c r="H21" s="234"/>
      <c r="I21" s="160">
        <v>0</v>
      </c>
      <c r="J21" s="161" t="s">
        <v>106</v>
      </c>
      <c r="K21" s="233">
        <v>0</v>
      </c>
      <c r="L21" s="233"/>
      <c r="M21" s="234"/>
      <c r="N21" s="162">
        <v>0</v>
      </c>
      <c r="O21" s="161" t="s">
        <v>106</v>
      </c>
      <c r="P21" s="233">
        <v>0</v>
      </c>
      <c r="Q21" s="233"/>
      <c r="R21" s="234"/>
      <c r="S21" s="159">
        <f ca="1">IF(B21=TRUE,RAND(),"")</f>
      </c>
      <c r="T21" s="157" t="s">
        <v>106</v>
      </c>
      <c r="U21" s="231">
        <f ca="1">IF(S21="","",IF(S21&lt;'Treasurer table'!R21,RANDBETWEEN(2,8),""))</f>
      </c>
      <c r="V21" s="231"/>
      <c r="W21" s="232"/>
      <c r="X21" s="158">
        <f ca="1">IF(B21=TRUE,RAND(),"")</f>
      </c>
      <c r="Y21" s="157" t="s">
        <v>106</v>
      </c>
      <c r="Z21" s="231">
        <f ca="1">IF(X21="","",IF(X21&lt;'Treasurer table'!W21,RANDBETWEEN(1,8),""))</f>
      </c>
      <c r="AA21" s="231"/>
      <c r="AB21" s="232"/>
      <c r="AC21" s="156">
        <f ca="1">IF(B21=TRUE,RAND(),"")</f>
      </c>
      <c r="AD21" s="157" t="s">
        <v>106</v>
      </c>
      <c r="AE21" s="231">
        <f ca="1">IF(AC21="","",IF(AC21&lt;'Treasurer table'!AB21,RANDBETWEEN(4,32),""))</f>
      </c>
      <c r="AF21" s="231"/>
      <c r="AG21" s="232"/>
      <c r="AH21" s="159">
        <f ca="1">IF(B21=TRUE,RAND(),"")</f>
      </c>
      <c r="AI21" s="157" t="s">
        <v>106</v>
      </c>
      <c r="AJ21" s="231">
        <f ca="1">IF(AH21="","",IF(AH21&lt;'Treasurer table'!AG21,RANDBETWEEN(1,12),""))</f>
      </c>
      <c r="AK21" s="231"/>
      <c r="AL21" s="232"/>
      <c r="AM21" s="160">
        <v>0</v>
      </c>
      <c r="AN21" s="161" t="s">
        <v>106</v>
      </c>
      <c r="AO21" s="239"/>
      <c r="AP21" s="239"/>
      <c r="AQ21" s="239"/>
      <c r="AR21" s="240"/>
      <c r="AS21" s="260"/>
    </row>
    <row r="22" spans="1:45" s="154" customFormat="1" ht="15" customHeight="1">
      <c r="A22" s="148"/>
      <c r="B22" s="198" t="b">
        <v>0</v>
      </c>
      <c r="C22" s="155" t="s">
        <v>97</v>
      </c>
      <c r="D22" s="163">
        <v>0</v>
      </c>
      <c r="E22" s="161" t="s">
        <v>106</v>
      </c>
      <c r="F22" s="233">
        <v>0</v>
      </c>
      <c r="G22" s="233"/>
      <c r="H22" s="234"/>
      <c r="I22" s="160">
        <v>0</v>
      </c>
      <c r="J22" s="161" t="s">
        <v>106</v>
      </c>
      <c r="K22" s="233">
        <v>0</v>
      </c>
      <c r="L22" s="233"/>
      <c r="M22" s="234"/>
      <c r="N22" s="162">
        <v>0</v>
      </c>
      <c r="O22" s="161" t="s">
        <v>106</v>
      </c>
      <c r="P22" s="233">
        <v>0</v>
      </c>
      <c r="Q22" s="233"/>
      <c r="R22" s="234"/>
      <c r="S22" s="162">
        <v>0</v>
      </c>
      <c r="T22" s="161" t="s">
        <v>106</v>
      </c>
      <c r="U22" s="233">
        <v>0</v>
      </c>
      <c r="V22" s="233"/>
      <c r="W22" s="234"/>
      <c r="X22" s="160">
        <v>0</v>
      </c>
      <c r="Y22" s="161" t="s">
        <v>106</v>
      </c>
      <c r="Z22" s="233">
        <v>0</v>
      </c>
      <c r="AA22" s="233"/>
      <c r="AB22" s="234"/>
      <c r="AC22" s="163">
        <v>0</v>
      </c>
      <c r="AD22" s="161" t="s">
        <v>106</v>
      </c>
      <c r="AE22" s="233">
        <v>0</v>
      </c>
      <c r="AF22" s="233"/>
      <c r="AG22" s="234"/>
      <c r="AH22" s="162">
        <v>0</v>
      </c>
      <c r="AI22" s="161" t="s">
        <v>106</v>
      </c>
      <c r="AJ22" s="233">
        <v>0</v>
      </c>
      <c r="AK22" s="233"/>
      <c r="AL22" s="234"/>
      <c r="AM22" s="158">
        <f aca="true" ca="1" t="shared" si="5" ref="AM22:AM27">IF(B22=TRUE,RAND(),"")</f>
      </c>
      <c r="AN22" s="157" t="s">
        <v>106</v>
      </c>
      <c r="AO22" s="243">
        <f>IF(AM22="","",IF(AM22&lt;'Treasurer table'!AL22,'Treasurer table'!AQ22,""))</f>
      </c>
      <c r="AP22" s="243"/>
      <c r="AQ22" s="243"/>
      <c r="AR22" s="244"/>
      <c r="AS22" s="260"/>
    </row>
    <row r="23" spans="1:45" s="154" customFormat="1" ht="15" customHeight="1">
      <c r="A23" s="148"/>
      <c r="B23" s="198" t="b">
        <v>0</v>
      </c>
      <c r="C23" s="155" t="s">
        <v>104</v>
      </c>
      <c r="D23" s="163">
        <v>0</v>
      </c>
      <c r="E23" s="161" t="s">
        <v>106</v>
      </c>
      <c r="F23" s="233">
        <v>0</v>
      </c>
      <c r="G23" s="233"/>
      <c r="H23" s="234"/>
      <c r="I23" s="160">
        <v>0</v>
      </c>
      <c r="J23" s="161" t="s">
        <v>106</v>
      </c>
      <c r="K23" s="233">
        <v>0</v>
      </c>
      <c r="L23" s="233"/>
      <c r="M23" s="234"/>
      <c r="N23" s="162">
        <v>0</v>
      </c>
      <c r="O23" s="161" t="s">
        <v>106</v>
      </c>
      <c r="P23" s="233">
        <v>0</v>
      </c>
      <c r="Q23" s="233"/>
      <c r="R23" s="234"/>
      <c r="S23" s="162">
        <v>0</v>
      </c>
      <c r="T23" s="161" t="s">
        <v>106</v>
      </c>
      <c r="U23" s="233">
        <v>0</v>
      </c>
      <c r="V23" s="233"/>
      <c r="W23" s="234"/>
      <c r="X23" s="160">
        <v>0</v>
      </c>
      <c r="Y23" s="161" t="s">
        <v>106</v>
      </c>
      <c r="Z23" s="233">
        <v>0</v>
      </c>
      <c r="AA23" s="233"/>
      <c r="AB23" s="234"/>
      <c r="AC23" s="163">
        <v>0</v>
      </c>
      <c r="AD23" s="161" t="s">
        <v>106</v>
      </c>
      <c r="AE23" s="233">
        <v>0</v>
      </c>
      <c r="AF23" s="233"/>
      <c r="AG23" s="234"/>
      <c r="AH23" s="162">
        <v>0</v>
      </c>
      <c r="AI23" s="161" t="s">
        <v>106</v>
      </c>
      <c r="AJ23" s="233">
        <v>0</v>
      </c>
      <c r="AK23" s="233"/>
      <c r="AL23" s="234"/>
      <c r="AM23" s="158">
        <f ca="1" t="shared" si="5"/>
      </c>
      <c r="AN23" s="157" t="s">
        <v>106</v>
      </c>
      <c r="AO23" s="243">
        <f>IF(AM23="","",IF(AM23&lt;'Treasurer table'!AL23,'Treasurer table'!AQ23,""))</f>
      </c>
      <c r="AP23" s="243"/>
      <c r="AQ23" s="243"/>
      <c r="AR23" s="244"/>
      <c r="AS23" s="260"/>
    </row>
    <row r="24" spans="1:45" s="154" customFormat="1" ht="15" customHeight="1">
      <c r="A24" s="148"/>
      <c r="B24" s="198" t="b">
        <v>0</v>
      </c>
      <c r="C24" s="155" t="s">
        <v>98</v>
      </c>
      <c r="D24" s="163">
        <v>0</v>
      </c>
      <c r="E24" s="161" t="s">
        <v>106</v>
      </c>
      <c r="F24" s="233">
        <v>0</v>
      </c>
      <c r="G24" s="233"/>
      <c r="H24" s="234"/>
      <c r="I24" s="160">
        <v>0</v>
      </c>
      <c r="J24" s="161" t="s">
        <v>106</v>
      </c>
      <c r="K24" s="233">
        <v>0</v>
      </c>
      <c r="L24" s="233"/>
      <c r="M24" s="234"/>
      <c r="N24" s="162">
        <v>0</v>
      </c>
      <c r="O24" s="161" t="s">
        <v>106</v>
      </c>
      <c r="P24" s="233">
        <v>0</v>
      </c>
      <c r="Q24" s="233"/>
      <c r="R24" s="234"/>
      <c r="S24" s="162">
        <v>0</v>
      </c>
      <c r="T24" s="161" t="s">
        <v>106</v>
      </c>
      <c r="U24" s="233">
        <v>0</v>
      </c>
      <c r="V24" s="233"/>
      <c r="W24" s="234"/>
      <c r="X24" s="160">
        <v>0</v>
      </c>
      <c r="Y24" s="161" t="s">
        <v>106</v>
      </c>
      <c r="Z24" s="233">
        <v>0</v>
      </c>
      <c r="AA24" s="233"/>
      <c r="AB24" s="234"/>
      <c r="AC24" s="156">
        <f ca="1">IF(B24=TRUE,RAND(),"")</f>
      </c>
      <c r="AD24" s="157" t="s">
        <v>106</v>
      </c>
      <c r="AE24" s="231">
        <f ca="1">IF(AC24="","",IF(AC24&lt;'Treasurer table'!AB24,RANDBETWEEN(10,80),""))</f>
      </c>
      <c r="AF24" s="231"/>
      <c r="AG24" s="232"/>
      <c r="AH24" s="159">
        <f ca="1">IF(B24=TRUE,RAND(),"")</f>
      </c>
      <c r="AI24" s="157" t="s">
        <v>106</v>
      </c>
      <c r="AJ24" s="231">
        <f ca="1">IF(AH24="","",IF(AH24&lt;'Treasurer table'!AG24,RANDBETWEEN(5,30),""))</f>
      </c>
      <c r="AK24" s="231"/>
      <c r="AL24" s="232"/>
      <c r="AM24" s="158">
        <f ca="1" t="shared" si="5"/>
      </c>
      <c r="AN24" s="157" t="s">
        <v>106</v>
      </c>
      <c r="AO24" s="243">
        <f>IF(AM24="","",IF(AM24&lt;'Treasurer table'!AL24,'Treasurer table'!AQ24,""))</f>
      </c>
      <c r="AP24" s="243"/>
      <c r="AQ24" s="243"/>
      <c r="AR24" s="244"/>
      <c r="AS24" s="260"/>
    </row>
    <row r="25" spans="1:45" s="154" customFormat="1" ht="15" customHeight="1">
      <c r="A25" s="148"/>
      <c r="B25" s="198" t="b">
        <v>0</v>
      </c>
      <c r="C25" s="155" t="s">
        <v>99</v>
      </c>
      <c r="D25" s="163">
        <v>0</v>
      </c>
      <c r="E25" s="161" t="s">
        <v>106</v>
      </c>
      <c r="F25" s="233">
        <v>0</v>
      </c>
      <c r="G25" s="233"/>
      <c r="H25" s="234"/>
      <c r="I25" s="160">
        <v>0</v>
      </c>
      <c r="J25" s="161" t="s">
        <v>106</v>
      </c>
      <c r="K25" s="233">
        <v>0</v>
      </c>
      <c r="L25" s="233"/>
      <c r="M25" s="234"/>
      <c r="N25" s="162">
        <v>0</v>
      </c>
      <c r="O25" s="161" t="s">
        <v>106</v>
      </c>
      <c r="P25" s="233">
        <v>0</v>
      </c>
      <c r="Q25" s="233"/>
      <c r="R25" s="234"/>
      <c r="S25" s="162">
        <v>0</v>
      </c>
      <c r="T25" s="161" t="s">
        <v>106</v>
      </c>
      <c r="U25" s="233">
        <v>0</v>
      </c>
      <c r="V25" s="233"/>
      <c r="W25" s="234"/>
      <c r="X25" s="160">
        <v>0</v>
      </c>
      <c r="Y25" s="161" t="s">
        <v>106</v>
      </c>
      <c r="Z25" s="233">
        <v>0</v>
      </c>
      <c r="AA25" s="233"/>
      <c r="AB25" s="234"/>
      <c r="AC25" s="163">
        <v>0</v>
      </c>
      <c r="AD25" s="161" t="s">
        <v>106</v>
      </c>
      <c r="AE25" s="233">
        <v>0</v>
      </c>
      <c r="AF25" s="233"/>
      <c r="AG25" s="234"/>
      <c r="AH25" s="162">
        <v>0</v>
      </c>
      <c r="AI25" s="161" t="s">
        <v>106</v>
      </c>
      <c r="AJ25" s="233">
        <v>0</v>
      </c>
      <c r="AK25" s="233"/>
      <c r="AL25" s="234"/>
      <c r="AM25" s="158">
        <f ca="1" t="shared" si="5"/>
      </c>
      <c r="AN25" s="157" t="s">
        <v>106</v>
      </c>
      <c r="AO25" s="243">
        <f>IF(AM25="","",IF(AM25&lt;'Treasurer table'!AL25,'Treasurer table'!AQ25,""))</f>
      </c>
      <c r="AP25" s="243"/>
      <c r="AQ25" s="243"/>
      <c r="AR25" s="244"/>
      <c r="AS25" s="260"/>
    </row>
    <row r="26" spans="1:45" s="154" customFormat="1" ht="15" customHeight="1">
      <c r="A26" s="148"/>
      <c r="B26" s="198" t="b">
        <v>0</v>
      </c>
      <c r="C26" s="155" t="s">
        <v>100</v>
      </c>
      <c r="D26" s="163">
        <v>0</v>
      </c>
      <c r="E26" s="161" t="s">
        <v>106</v>
      </c>
      <c r="F26" s="233">
        <v>0</v>
      </c>
      <c r="G26" s="233"/>
      <c r="H26" s="234"/>
      <c r="I26" s="160">
        <v>0</v>
      </c>
      <c r="J26" s="161" t="s">
        <v>106</v>
      </c>
      <c r="K26" s="233">
        <v>0</v>
      </c>
      <c r="L26" s="233"/>
      <c r="M26" s="234"/>
      <c r="N26" s="162">
        <v>0</v>
      </c>
      <c r="O26" s="161" t="s">
        <v>106</v>
      </c>
      <c r="P26" s="233">
        <v>0</v>
      </c>
      <c r="Q26" s="233"/>
      <c r="R26" s="234"/>
      <c r="S26" s="159">
        <f ca="1">IF(B26=TRUE,RAND(),"")</f>
      </c>
      <c r="T26" s="157" t="s">
        <v>106</v>
      </c>
      <c r="U26" s="231">
        <f ca="1">IF(S26="","",IF(S26&lt;'Treasurer table'!R26,RANDBETWEEN(5,30),""))</f>
      </c>
      <c r="V26" s="231"/>
      <c r="W26" s="232"/>
      <c r="X26" s="158">
        <f ca="1">IF(B26=TRUE,RAND(),"")</f>
      </c>
      <c r="Y26" s="157" t="s">
        <v>106</v>
      </c>
      <c r="Z26" s="231">
        <f ca="1">IF(X26="","",IF(X26&lt;'Treasurer table'!W26,RANDBETWEEN(1,8),""))</f>
      </c>
      <c r="AA26" s="231"/>
      <c r="AB26" s="232"/>
      <c r="AC26" s="156">
        <f ca="1">IF(B26=TRUE,RAND(),"")</f>
      </c>
      <c r="AD26" s="157" t="s">
        <v>106</v>
      </c>
      <c r="AE26" s="231">
        <f ca="1">IF(AC26="","",IF(AC26&lt;'Treasurer table'!AB26,RANDBETWEEN(10,80),""))</f>
      </c>
      <c r="AF26" s="231"/>
      <c r="AG26" s="232"/>
      <c r="AH26" s="159">
        <f ca="1">IF(B26=TRUE,RAND(),"")</f>
      </c>
      <c r="AI26" s="157" t="s">
        <v>106</v>
      </c>
      <c r="AJ26" s="231">
        <f ca="1">IF(AH26="","",IF(AH26&lt;'Treasurer table'!AG26,RANDBETWEEN(5,40),""))</f>
      </c>
      <c r="AK26" s="231"/>
      <c r="AL26" s="232"/>
      <c r="AM26" s="158">
        <f ca="1" t="shared" si="5"/>
      </c>
      <c r="AN26" s="157" t="s">
        <v>106</v>
      </c>
      <c r="AO26" s="243">
        <f>IF(AM26="","",IF(AM26&lt;'Treasurer table'!AL26,'Treasurer table'!AQ26,""))</f>
      </c>
      <c r="AP26" s="243"/>
      <c r="AQ26" s="243"/>
      <c r="AR26" s="244"/>
      <c r="AS26" s="260"/>
    </row>
    <row r="27" spans="1:45" s="154" customFormat="1" ht="15" customHeight="1">
      <c r="A27" s="148"/>
      <c r="B27" s="198" t="b">
        <v>0</v>
      </c>
      <c r="C27" s="155" t="s">
        <v>101</v>
      </c>
      <c r="D27" s="163">
        <v>0</v>
      </c>
      <c r="E27" s="161" t="s">
        <v>106</v>
      </c>
      <c r="F27" s="233">
        <v>0</v>
      </c>
      <c r="G27" s="233"/>
      <c r="H27" s="234"/>
      <c r="I27" s="160">
        <v>0</v>
      </c>
      <c r="J27" s="161" t="s">
        <v>106</v>
      </c>
      <c r="K27" s="233">
        <v>0</v>
      </c>
      <c r="L27" s="233"/>
      <c r="M27" s="234"/>
      <c r="N27" s="162">
        <v>0</v>
      </c>
      <c r="O27" s="161" t="s">
        <v>106</v>
      </c>
      <c r="P27" s="233">
        <v>0</v>
      </c>
      <c r="Q27" s="233"/>
      <c r="R27" s="234"/>
      <c r="S27" s="162">
        <v>0</v>
      </c>
      <c r="T27" s="161" t="s">
        <v>106</v>
      </c>
      <c r="U27" s="233">
        <v>0</v>
      </c>
      <c r="V27" s="233"/>
      <c r="W27" s="234"/>
      <c r="X27" s="160">
        <v>0</v>
      </c>
      <c r="Y27" s="161" t="s">
        <v>106</v>
      </c>
      <c r="Z27" s="233">
        <v>0</v>
      </c>
      <c r="AA27" s="233"/>
      <c r="AB27" s="234"/>
      <c r="AC27" s="163">
        <v>0</v>
      </c>
      <c r="AD27" s="161" t="s">
        <v>106</v>
      </c>
      <c r="AE27" s="233">
        <v>0</v>
      </c>
      <c r="AF27" s="233"/>
      <c r="AG27" s="234"/>
      <c r="AH27" s="162">
        <v>0</v>
      </c>
      <c r="AI27" s="161" t="s">
        <v>106</v>
      </c>
      <c r="AJ27" s="233">
        <v>0</v>
      </c>
      <c r="AK27" s="233"/>
      <c r="AL27" s="234"/>
      <c r="AM27" s="158">
        <f ca="1" t="shared" si="5"/>
      </c>
      <c r="AN27" s="157" t="s">
        <v>106</v>
      </c>
      <c r="AO27" s="243">
        <f>IF(AM27="","",IF(AM27&lt;'Treasurer table'!AL27,'Treasurer table'!AQ27,""))</f>
      </c>
      <c r="AP27" s="243"/>
      <c r="AQ27" s="243"/>
      <c r="AR27" s="244"/>
      <c r="AS27" s="260"/>
    </row>
    <row r="28" spans="1:45" s="154" customFormat="1" ht="15" customHeight="1">
      <c r="A28" s="148"/>
      <c r="B28" s="198" t="b">
        <v>0</v>
      </c>
      <c r="C28" s="155" t="s">
        <v>102</v>
      </c>
      <c r="D28" s="163">
        <v>0</v>
      </c>
      <c r="E28" s="161" t="s">
        <v>106</v>
      </c>
      <c r="F28" s="233">
        <v>0</v>
      </c>
      <c r="G28" s="233"/>
      <c r="H28" s="234"/>
      <c r="I28" s="160">
        <v>0</v>
      </c>
      <c r="J28" s="161" t="s">
        <v>106</v>
      </c>
      <c r="K28" s="233">
        <v>0</v>
      </c>
      <c r="L28" s="233"/>
      <c r="M28" s="234"/>
      <c r="N28" s="162">
        <v>0</v>
      </c>
      <c r="O28" s="161" t="s">
        <v>106</v>
      </c>
      <c r="P28" s="233">
        <v>0</v>
      </c>
      <c r="Q28" s="233"/>
      <c r="R28" s="234"/>
      <c r="S28" s="159">
        <f ca="1">IF(B28=TRUE,RAND(),"")</f>
      </c>
      <c r="T28" s="157" t="s">
        <v>106</v>
      </c>
      <c r="U28" s="231">
        <f ca="1">IF(S28="","",IF(S28&lt;'Treasurer table'!R28,RANDBETWEEN(2,12),""))</f>
      </c>
      <c r="V28" s="231"/>
      <c r="W28" s="232"/>
      <c r="X28" s="160">
        <v>0</v>
      </c>
      <c r="Y28" s="161" t="s">
        <v>106</v>
      </c>
      <c r="Z28" s="233">
        <v>0</v>
      </c>
      <c r="AA28" s="233"/>
      <c r="AB28" s="234"/>
      <c r="AC28" s="163">
        <v>0</v>
      </c>
      <c r="AD28" s="161" t="s">
        <v>106</v>
      </c>
      <c r="AE28" s="233">
        <v>0</v>
      </c>
      <c r="AF28" s="233"/>
      <c r="AG28" s="234"/>
      <c r="AH28" s="162">
        <v>0</v>
      </c>
      <c r="AI28" s="161" t="s">
        <v>106</v>
      </c>
      <c r="AJ28" s="233">
        <v>0</v>
      </c>
      <c r="AK28" s="233"/>
      <c r="AL28" s="234"/>
      <c r="AM28" s="160">
        <v>0</v>
      </c>
      <c r="AN28" s="161" t="s">
        <v>106</v>
      </c>
      <c r="AO28" s="239"/>
      <c r="AP28" s="239"/>
      <c r="AQ28" s="239"/>
      <c r="AR28" s="240"/>
      <c r="AS28" s="260"/>
    </row>
    <row r="29" spans="1:45" s="154" customFormat="1" ht="15" customHeight="1" thickBot="1">
      <c r="A29" s="148"/>
      <c r="B29" s="198" t="b">
        <v>0</v>
      </c>
      <c r="C29" s="180" t="s">
        <v>103</v>
      </c>
      <c r="D29" s="181">
        <f ca="1">IF(B29=TRUE,RAND(),"")</f>
      </c>
      <c r="E29" s="182" t="s">
        <v>106</v>
      </c>
      <c r="F29" s="225">
        <f ca="1">IF(D29="","",IF(D29&lt;'Treasurer table'!C29,RANDBETWEEN(1,3),""))</f>
      </c>
      <c r="G29" s="225"/>
      <c r="H29" s="226"/>
      <c r="I29" s="183">
        <f ca="1">IF(B29=TRUE,RAND(),"")</f>
      </c>
      <c r="J29" s="182" t="s">
        <v>106</v>
      </c>
      <c r="K29" s="225">
        <f ca="1">IF(I29="","",IF(I29&lt;'Treasurer table'!H29,RANDBETWEEN(1,4),""))</f>
      </c>
      <c r="L29" s="225"/>
      <c r="M29" s="226"/>
      <c r="N29" s="184">
        <f ca="1">IF(B29=TRUE,RAND(),"")</f>
      </c>
      <c r="O29" s="182" t="s">
        <v>106</v>
      </c>
      <c r="P29" s="225">
        <f ca="1">IF(N29="","",IF(N29&lt;'Treasurer table'!M29,RANDBETWEEN(1,4),""))</f>
      </c>
      <c r="Q29" s="225"/>
      <c r="R29" s="226"/>
      <c r="S29" s="184">
        <f ca="1">IF(B29=TRUE,RAND(),"")</f>
      </c>
      <c r="T29" s="182" t="s">
        <v>106</v>
      </c>
      <c r="U29" s="225">
        <f ca="1">IF(S29="","",IF(S29&lt;'Treasurer table'!R29,RANDBETWEEN(1,4),""))</f>
      </c>
      <c r="V29" s="225"/>
      <c r="W29" s="226"/>
      <c r="X29" s="183">
        <f ca="1">IF(B29=TRUE,RAND(),"")</f>
      </c>
      <c r="Y29" s="182" t="s">
        <v>106</v>
      </c>
      <c r="Z29" s="225">
        <f ca="1">IF(X29="","",IF(X29&lt;'Treasurer table'!W29,RANDBETWEEN(1,6),""))</f>
      </c>
      <c r="AA29" s="225"/>
      <c r="AB29" s="226"/>
      <c r="AC29" s="181">
        <f ca="1">IF(B29=TRUE,RAND(),"")</f>
      </c>
      <c r="AD29" s="182" t="s">
        <v>106</v>
      </c>
      <c r="AE29" s="225">
        <f ca="1">IF(AC29="","",IF(AC29&lt;'Treasurer table'!AB29,RANDBETWEEN(1,6),""))</f>
      </c>
      <c r="AF29" s="225"/>
      <c r="AG29" s="226"/>
      <c r="AH29" s="184">
        <f ca="1">IF(B29=TRUE,RAND(),"")</f>
      </c>
      <c r="AI29" s="182" t="s">
        <v>106</v>
      </c>
      <c r="AJ29" s="225">
        <f ca="1">IF(AH29="","",IF(AH29&lt;'Treasurer table'!AG29,RANDBETWEEN(5,30),""))</f>
      </c>
      <c r="AK29" s="225"/>
      <c r="AL29" s="226"/>
      <c r="AM29" s="183">
        <f ca="1">IF(B29=TRUE,RAND(),"")</f>
      </c>
      <c r="AN29" s="182" t="s">
        <v>106</v>
      </c>
      <c r="AO29" s="268">
        <f>IF(AM29="","",IF(AM29&lt;'Treasurer table'!AL29,'Treasurer table'!AQ29,""))</f>
      </c>
      <c r="AP29" s="268"/>
      <c r="AQ29" s="268"/>
      <c r="AR29" s="269"/>
      <c r="AS29" s="260"/>
    </row>
    <row r="30" spans="1:45" s="139" customFormat="1" ht="13.5" customHeight="1" thickBot="1">
      <c r="A30" s="146"/>
      <c r="B30" s="146"/>
      <c r="C30" s="185" t="s">
        <v>225</v>
      </c>
      <c r="D30" s="229">
        <f>SUM(F4:F29)</f>
        <v>0</v>
      </c>
      <c r="E30" s="229"/>
      <c r="F30" s="229"/>
      <c r="G30" s="229"/>
      <c r="H30" s="229"/>
      <c r="I30" s="229">
        <f>SUM(K4:K29)</f>
        <v>0</v>
      </c>
      <c r="J30" s="229"/>
      <c r="K30" s="229"/>
      <c r="L30" s="229"/>
      <c r="M30" s="229"/>
      <c r="N30" s="229">
        <f>SUM(P4:P29)</f>
        <v>0</v>
      </c>
      <c r="O30" s="229"/>
      <c r="P30" s="229"/>
      <c r="Q30" s="229"/>
      <c r="R30" s="229"/>
      <c r="S30" s="229">
        <f>SUM(U4:U29)</f>
        <v>0</v>
      </c>
      <c r="T30" s="229"/>
      <c r="U30" s="229"/>
      <c r="V30" s="229"/>
      <c r="W30" s="229"/>
      <c r="X30" s="229">
        <f>SUM(Z4:Z29)</f>
        <v>0</v>
      </c>
      <c r="Y30" s="229"/>
      <c r="Z30" s="229"/>
      <c r="AA30" s="229"/>
      <c r="AB30" s="229"/>
      <c r="AC30" s="229">
        <f>SUM(AE4:AE29)</f>
        <v>0</v>
      </c>
      <c r="AD30" s="229"/>
      <c r="AE30" s="229"/>
      <c r="AF30" s="229"/>
      <c r="AG30" s="229"/>
      <c r="AH30" s="229">
        <f>SUM(AJ4:AJ29)</f>
        <v>0</v>
      </c>
      <c r="AI30" s="229"/>
      <c r="AJ30" s="229"/>
      <c r="AK30" s="229"/>
      <c r="AL30" s="229"/>
      <c r="AM30" s="186"/>
      <c r="AN30" s="187"/>
      <c r="AO30" s="230">
        <f>COUNTA(AO4:AO29)</f>
        <v>16</v>
      </c>
      <c r="AP30" s="230"/>
      <c r="AQ30" s="230"/>
      <c r="AR30" s="230"/>
      <c r="AS30" s="188"/>
    </row>
    <row r="31" spans="3:45" ht="13.5" customHeight="1" thickBot="1">
      <c r="C31" s="189" t="s">
        <v>61</v>
      </c>
      <c r="D31" s="227">
        <f>PRODUCT(D30/200)</f>
        <v>0</v>
      </c>
      <c r="E31" s="227"/>
      <c r="F31" s="227"/>
      <c r="G31" s="227"/>
      <c r="H31" s="227"/>
      <c r="I31" s="227">
        <f>PRODUCT(I30/20)</f>
        <v>0</v>
      </c>
      <c r="J31" s="227"/>
      <c r="K31" s="227"/>
      <c r="L31" s="227"/>
      <c r="M31" s="227"/>
      <c r="N31" s="227">
        <f>PRODUCT(N30/2)</f>
        <v>0</v>
      </c>
      <c r="O31" s="227"/>
      <c r="P31" s="227"/>
      <c r="Q31" s="227"/>
      <c r="R31" s="227"/>
      <c r="S31" s="227">
        <f>PRODUCT(S30,1)</f>
        <v>0</v>
      </c>
      <c r="T31" s="227"/>
      <c r="U31" s="227"/>
      <c r="V31" s="227"/>
      <c r="W31" s="227"/>
      <c r="X31" s="227">
        <f>PRODUCT(X30,5)</f>
        <v>0</v>
      </c>
      <c r="Y31" s="227"/>
      <c r="Z31" s="227"/>
      <c r="AA31" s="227"/>
      <c r="AB31" s="227"/>
      <c r="AC31" s="228">
        <f>SUM('Gem results'!AS4:AT203)</f>
        <v>0</v>
      </c>
      <c r="AD31" s="228"/>
      <c r="AE31" s="228"/>
      <c r="AF31" s="228"/>
      <c r="AG31" s="228"/>
      <c r="AH31" s="228">
        <f>'Jewelry results'!K1</f>
        <v>0</v>
      </c>
      <c r="AI31" s="228"/>
      <c r="AJ31" s="228"/>
      <c r="AK31" s="228"/>
      <c r="AL31" s="228"/>
      <c r="AM31" s="190"/>
      <c r="AN31" s="191"/>
      <c r="AO31" s="224"/>
      <c r="AP31" s="224"/>
      <c r="AQ31" s="224"/>
      <c r="AR31" s="224"/>
      <c r="AS31" s="192"/>
    </row>
  </sheetData>
  <sheetProtection selectLockedCells="1"/>
  <mergeCells count="236">
    <mergeCell ref="AO27:AR27"/>
    <mergeCell ref="AO29:AR29"/>
    <mergeCell ref="F13:H13"/>
    <mergeCell ref="K14:M14"/>
    <mergeCell ref="P15:R15"/>
    <mergeCell ref="AO23:AR23"/>
    <mergeCell ref="AO24:AR24"/>
    <mergeCell ref="AO25:AR25"/>
    <mergeCell ref="AO26:AR26"/>
    <mergeCell ref="AJ25:AL25"/>
    <mergeCell ref="AE7:AG7"/>
    <mergeCell ref="AJ7:AL7"/>
    <mergeCell ref="AO7:AR7"/>
    <mergeCell ref="F8:H8"/>
    <mergeCell ref="F7:H7"/>
    <mergeCell ref="K7:M7"/>
    <mergeCell ref="P7:R7"/>
    <mergeCell ref="U7:W7"/>
    <mergeCell ref="AO8:AR8"/>
    <mergeCell ref="AJ27:AL27"/>
    <mergeCell ref="AJ28:AL28"/>
    <mergeCell ref="D30:H30"/>
    <mergeCell ref="I30:M30"/>
    <mergeCell ref="N30:R30"/>
    <mergeCell ref="S30:W30"/>
    <mergeCell ref="X30:AB30"/>
    <mergeCell ref="AC30:AG30"/>
    <mergeCell ref="F27:H27"/>
    <mergeCell ref="F28:H28"/>
    <mergeCell ref="AJ22:AL22"/>
    <mergeCell ref="AJ23:AL23"/>
    <mergeCell ref="K8:M8"/>
    <mergeCell ref="P8:R8"/>
    <mergeCell ref="U8:W8"/>
    <mergeCell ref="AE8:AG8"/>
    <mergeCell ref="AJ8:AL8"/>
    <mergeCell ref="AJ16:AL16"/>
    <mergeCell ref="AJ17:AL17"/>
    <mergeCell ref="AE23:AG23"/>
    <mergeCell ref="AE28:AG28"/>
    <mergeCell ref="AE27:AG27"/>
    <mergeCell ref="AE22:AG22"/>
    <mergeCell ref="AE19:AG19"/>
    <mergeCell ref="AE18:AG18"/>
    <mergeCell ref="AE20:AG20"/>
    <mergeCell ref="AE21:AG21"/>
    <mergeCell ref="Z22:AB22"/>
    <mergeCell ref="Z23:AB23"/>
    <mergeCell ref="Z24:AB24"/>
    <mergeCell ref="Z21:AB21"/>
    <mergeCell ref="Z27:AB27"/>
    <mergeCell ref="Z28:AB28"/>
    <mergeCell ref="AO12:AR12"/>
    <mergeCell ref="AO18:AR18"/>
    <mergeCell ref="AO19:AR19"/>
    <mergeCell ref="AJ18:AL18"/>
    <mergeCell ref="AJ19:AL19"/>
    <mergeCell ref="AJ13:AL13"/>
    <mergeCell ref="AJ14:AL14"/>
    <mergeCell ref="AJ15:AL15"/>
    <mergeCell ref="AO9:AR9"/>
    <mergeCell ref="AO10:AR10"/>
    <mergeCell ref="AO11:AR11"/>
    <mergeCell ref="U18:W18"/>
    <mergeCell ref="U17:W17"/>
    <mergeCell ref="U14:W14"/>
    <mergeCell ref="U15:W15"/>
    <mergeCell ref="AE9:AG9"/>
    <mergeCell ref="AJ9:AL9"/>
    <mergeCell ref="U10:W10"/>
    <mergeCell ref="U27:W27"/>
    <mergeCell ref="U28:W28"/>
    <mergeCell ref="U23:W23"/>
    <mergeCell ref="U22:W22"/>
    <mergeCell ref="U20:W20"/>
    <mergeCell ref="U19:W19"/>
    <mergeCell ref="U21:W21"/>
    <mergeCell ref="P23:R23"/>
    <mergeCell ref="P24:R24"/>
    <mergeCell ref="P25:R25"/>
    <mergeCell ref="P26:R26"/>
    <mergeCell ref="P27:R27"/>
    <mergeCell ref="P28:R28"/>
    <mergeCell ref="P17:R17"/>
    <mergeCell ref="P18:R18"/>
    <mergeCell ref="P20:R20"/>
    <mergeCell ref="P21:R21"/>
    <mergeCell ref="P19:R19"/>
    <mergeCell ref="P22:R22"/>
    <mergeCell ref="K22:M22"/>
    <mergeCell ref="K21:M21"/>
    <mergeCell ref="K20:M20"/>
    <mergeCell ref="K17:M17"/>
    <mergeCell ref="K19:M19"/>
    <mergeCell ref="K16:M16"/>
    <mergeCell ref="K28:M28"/>
    <mergeCell ref="K27:M27"/>
    <mergeCell ref="F23:H23"/>
    <mergeCell ref="F24:H24"/>
    <mergeCell ref="F25:H25"/>
    <mergeCell ref="F26:H26"/>
    <mergeCell ref="K26:M26"/>
    <mergeCell ref="K25:M25"/>
    <mergeCell ref="K24:M24"/>
    <mergeCell ref="K23:M23"/>
    <mergeCell ref="D3:H3"/>
    <mergeCell ref="U4:W4"/>
    <mergeCell ref="I3:M3"/>
    <mergeCell ref="N3:R3"/>
    <mergeCell ref="C2:C3"/>
    <mergeCell ref="F4:H4"/>
    <mergeCell ref="K4:M4"/>
    <mergeCell ref="P4:R4"/>
    <mergeCell ref="AJ4:AL4"/>
    <mergeCell ref="AO4:AR4"/>
    <mergeCell ref="AM3:AR3"/>
    <mergeCell ref="D2:AB2"/>
    <mergeCell ref="AS4:AS12"/>
    <mergeCell ref="AS13:AS29"/>
    <mergeCell ref="S3:W3"/>
    <mergeCell ref="X3:AB3"/>
    <mergeCell ref="AC3:AG3"/>
    <mergeCell ref="AH3:AL3"/>
    <mergeCell ref="F5:H5"/>
    <mergeCell ref="K5:M5"/>
    <mergeCell ref="P5:R5"/>
    <mergeCell ref="U5:W5"/>
    <mergeCell ref="Z4:AB4"/>
    <mergeCell ref="AE4:AG4"/>
    <mergeCell ref="AE5:AG5"/>
    <mergeCell ref="AJ5:AL5"/>
    <mergeCell ref="AO5:AR5"/>
    <mergeCell ref="F6:H6"/>
    <mergeCell ref="K6:M6"/>
    <mergeCell ref="P6:R6"/>
    <mergeCell ref="AE6:AG6"/>
    <mergeCell ref="AJ6:AL6"/>
    <mergeCell ref="AO6:AR6"/>
    <mergeCell ref="U6:W6"/>
    <mergeCell ref="Z6:AB6"/>
    <mergeCell ref="Z5:AB5"/>
    <mergeCell ref="Z7:AB7"/>
    <mergeCell ref="AO22:AR22"/>
    <mergeCell ref="Z8:AB8"/>
    <mergeCell ref="AO13:AR13"/>
    <mergeCell ref="AO14:AR14"/>
    <mergeCell ref="AO15:AR15"/>
    <mergeCell ref="AO16:AR16"/>
    <mergeCell ref="AO17:AR17"/>
    <mergeCell ref="F12:H12"/>
    <mergeCell ref="K12:M12"/>
    <mergeCell ref="P12:R12"/>
    <mergeCell ref="U12:W12"/>
    <mergeCell ref="F9:H9"/>
    <mergeCell ref="F10:H10"/>
    <mergeCell ref="K10:M10"/>
    <mergeCell ref="P10:R10"/>
    <mergeCell ref="AO20:AR20"/>
    <mergeCell ref="AO21:AR21"/>
    <mergeCell ref="AO28:AR28"/>
    <mergeCell ref="F14:H14"/>
    <mergeCell ref="F15:H15"/>
    <mergeCell ref="F16:H16"/>
    <mergeCell ref="F17:H17"/>
    <mergeCell ref="F19:H19"/>
    <mergeCell ref="F20:H20"/>
    <mergeCell ref="F21:H21"/>
    <mergeCell ref="F22:H22"/>
    <mergeCell ref="U16:W16"/>
    <mergeCell ref="Z17:AB17"/>
    <mergeCell ref="K9:M9"/>
    <mergeCell ref="P9:R9"/>
    <mergeCell ref="U9:W9"/>
    <mergeCell ref="Z9:AB9"/>
    <mergeCell ref="F11:H11"/>
    <mergeCell ref="K11:M11"/>
    <mergeCell ref="P11:R11"/>
    <mergeCell ref="Z10:AB10"/>
    <mergeCell ref="AE10:AG10"/>
    <mergeCell ref="AJ10:AL10"/>
    <mergeCell ref="AJ12:AL12"/>
    <mergeCell ref="AE11:AG11"/>
    <mergeCell ref="AJ11:AL11"/>
    <mergeCell ref="AE12:AG12"/>
    <mergeCell ref="U11:W11"/>
    <mergeCell ref="Z11:AB11"/>
    <mergeCell ref="K13:M13"/>
    <mergeCell ref="P13:R13"/>
    <mergeCell ref="U13:W13"/>
    <mergeCell ref="Z12:AB12"/>
    <mergeCell ref="Z13:AB13"/>
    <mergeCell ref="AE13:AG13"/>
    <mergeCell ref="AE14:AG14"/>
    <mergeCell ref="Z15:AB15"/>
    <mergeCell ref="Z16:AB16"/>
    <mergeCell ref="F18:H18"/>
    <mergeCell ref="K18:M18"/>
    <mergeCell ref="Z14:AB14"/>
    <mergeCell ref="K15:M15"/>
    <mergeCell ref="P14:R14"/>
    <mergeCell ref="P16:R16"/>
    <mergeCell ref="AE17:AG17"/>
    <mergeCell ref="AE16:AG16"/>
    <mergeCell ref="AE15:AG15"/>
    <mergeCell ref="AJ20:AL20"/>
    <mergeCell ref="Z18:AB18"/>
    <mergeCell ref="AJ21:AL21"/>
    <mergeCell ref="Z19:AB19"/>
    <mergeCell ref="Z20:AB20"/>
    <mergeCell ref="AE24:AG24"/>
    <mergeCell ref="AJ24:AL24"/>
    <mergeCell ref="U26:W26"/>
    <mergeCell ref="Z26:AB26"/>
    <mergeCell ref="AE26:AG26"/>
    <mergeCell ref="AJ26:AL26"/>
    <mergeCell ref="U25:W25"/>
    <mergeCell ref="U24:W24"/>
    <mergeCell ref="Z25:AB25"/>
    <mergeCell ref="AE25:AG25"/>
    <mergeCell ref="D31:H31"/>
    <mergeCell ref="I31:M31"/>
    <mergeCell ref="N31:R31"/>
    <mergeCell ref="S31:W31"/>
    <mergeCell ref="F29:H29"/>
    <mergeCell ref="K29:M29"/>
    <mergeCell ref="P29:R29"/>
    <mergeCell ref="U29:W29"/>
    <mergeCell ref="AO31:AR31"/>
    <mergeCell ref="Z29:AB29"/>
    <mergeCell ref="AE29:AG29"/>
    <mergeCell ref="AJ29:AL29"/>
    <mergeCell ref="X31:AB31"/>
    <mergeCell ref="AC31:AG31"/>
    <mergeCell ref="AH31:AL31"/>
    <mergeCell ref="AH30:AL30"/>
    <mergeCell ref="AO30:AR30"/>
  </mergeCells>
  <conditionalFormatting sqref="AE26:AG26 K29:M29 K14:M14 P15:R15 U16:W16 Z17:AB17 AJ29:AL29 AE29:AG29 U28:W29 Z29:AB29 P29:R29 AJ26:AL26 Z26:AB26 AJ4:AL12 AO4:AR12 K18:M19 P19:R19 U21:W21 Z21:AB21 AE20:AG21 AJ21:AL21 AO22:AR27 AO29:AR29 AE24:AG24 AJ24:AL24 U26:W26">
    <cfRule type="cellIs" priority="1" dxfId="0" operator="notEqual" stopIfTrue="1">
      <formula>""</formula>
    </cfRule>
  </conditionalFormatting>
  <conditionalFormatting sqref="F29:H29 F13:H13 F18:H18">
    <cfRule type="cellIs" priority="2" dxfId="1" operator="notEqual" stopIfTrue="1">
      <formula>""</formula>
    </cfRule>
  </conditionalFormatting>
  <conditionalFormatting sqref="F4:H8 F11:H11">
    <cfRule type="cellIs" priority="3" dxfId="2" operator="notEqual" stopIfTrue="1">
      <formula>""</formula>
    </cfRule>
  </conditionalFormatting>
  <conditionalFormatting sqref="K4:M9 P4:R9 P11:R11 K11:M11 U7:W11 U4:W5 Z9:AB12 Z4:AB4 AE4:AG12">
    <cfRule type="cellIs" priority="4" dxfId="3" operator="notEqual" stopIfTrue="1">
      <formula>""</formula>
    </cfRule>
  </conditionalFormatting>
  <hyperlinks>
    <hyperlink ref="AC31:AG31" location="'Gem results'!A1" display="'Gem results'!A1"/>
    <hyperlink ref="AH31:AL31" location="'Jewelry results'!A1" display="'Jewelry results'!A1"/>
  </hyperlinks>
  <printOptions/>
  <pageMargins left="0.75" right="0.75" top="1" bottom="1" header="0.5" footer="0.5"/>
  <pageSetup horizontalDpi="2540" verticalDpi="254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2:AR29"/>
  <sheetViews>
    <sheetView showGridLines="0" zoomScale="110" zoomScaleNormal="110" workbookViewId="0" topLeftCell="A1">
      <selection activeCell="A31" sqref="A31:IV41"/>
    </sheetView>
  </sheetViews>
  <sheetFormatPr defaultColWidth="9.140625" defaultRowHeight="12.75"/>
  <cols>
    <col min="1" max="1" width="2.7109375" style="96" customWidth="1"/>
    <col min="2" max="2" width="9.421875" style="1" customWidth="1"/>
    <col min="3" max="3" width="6.421875" style="2" customWidth="1"/>
    <col min="4" max="4" width="1.7109375" style="3" bestFit="1" customWidth="1"/>
    <col min="5" max="5" width="2.00390625" style="4" bestFit="1" customWidth="1"/>
    <col min="6" max="6" width="1.7109375" style="1" bestFit="1" customWidth="1"/>
    <col min="7" max="7" width="3.00390625" style="5" bestFit="1" customWidth="1"/>
    <col min="8" max="8" width="6.421875" style="2" bestFit="1" customWidth="1"/>
    <col min="9" max="9" width="1.7109375" style="3" bestFit="1" customWidth="1"/>
    <col min="10" max="10" width="2.00390625" style="4" bestFit="1" customWidth="1"/>
    <col min="11" max="11" width="1.7109375" style="1" bestFit="1" customWidth="1"/>
    <col min="12" max="12" width="4.00390625" style="5" bestFit="1" customWidth="1"/>
    <col min="13" max="13" width="6.421875" style="2" bestFit="1" customWidth="1"/>
    <col min="14" max="14" width="1.7109375" style="3" bestFit="1" customWidth="1"/>
    <col min="15" max="15" width="3.00390625" style="4" bestFit="1" customWidth="1"/>
    <col min="16" max="16" width="1.7109375" style="1" bestFit="1" customWidth="1"/>
    <col min="17" max="17" width="3.00390625" style="5" bestFit="1" customWidth="1"/>
    <col min="18" max="18" width="6.421875" style="2" bestFit="1" customWidth="1"/>
    <col min="19" max="19" width="1.7109375" style="3" bestFit="1" customWidth="1"/>
    <col min="20" max="20" width="3.00390625" style="4" bestFit="1" customWidth="1"/>
    <col min="21" max="21" width="1.7109375" style="1" bestFit="1" customWidth="1"/>
    <col min="22" max="22" width="3.00390625" style="5" bestFit="1" customWidth="1"/>
    <col min="23" max="23" width="6.421875" style="2" bestFit="1" customWidth="1"/>
    <col min="24" max="24" width="1.7109375" style="3" bestFit="1" customWidth="1"/>
    <col min="25" max="25" width="3.00390625" style="4" bestFit="1" customWidth="1"/>
    <col min="26" max="26" width="1.7109375" style="1" bestFit="1" customWidth="1"/>
    <col min="27" max="27" width="3.00390625" style="5" bestFit="1" customWidth="1"/>
    <col min="28" max="28" width="6.421875" style="2" customWidth="1"/>
    <col min="29" max="29" width="1.7109375" style="3" bestFit="1" customWidth="1"/>
    <col min="30" max="30" width="3.00390625" style="4" bestFit="1" customWidth="1"/>
    <col min="31" max="31" width="1.7109375" style="1" bestFit="1" customWidth="1"/>
    <col min="32" max="32" width="4.00390625" style="5" bestFit="1" customWidth="1"/>
    <col min="33" max="33" width="6.421875" style="2" customWidth="1"/>
    <col min="34" max="34" width="1.7109375" style="3" bestFit="1" customWidth="1"/>
    <col min="35" max="35" width="3.00390625" style="4" bestFit="1" customWidth="1"/>
    <col min="36" max="36" width="1.7109375" style="1" bestFit="1" customWidth="1"/>
    <col min="37" max="37" width="3.00390625" style="5" bestFit="1" customWidth="1"/>
    <col min="38" max="38" width="6.421875" style="2" customWidth="1"/>
    <col min="39" max="39" width="1.7109375" style="3" bestFit="1" customWidth="1"/>
    <col min="40" max="40" width="2.00390625" style="4" bestFit="1" customWidth="1"/>
    <col min="41" max="41" width="1.7109375" style="1" bestFit="1" customWidth="1"/>
    <col min="42" max="42" width="2.00390625" style="5" bestFit="1" customWidth="1"/>
    <col min="43" max="43" width="27.421875" style="6" bestFit="1" customWidth="1"/>
    <col min="44" max="44" width="5.7109375" style="7" customWidth="1"/>
    <col min="45" max="16384" width="9.140625" style="8" customWidth="1"/>
  </cols>
  <sheetData>
    <row r="1" ht="12" thickBot="1"/>
    <row r="2" spans="1:44" s="1" customFormat="1" ht="10.5">
      <c r="A2" s="96"/>
      <c r="B2" s="275" t="s">
        <v>200</v>
      </c>
      <c r="C2" s="278" t="s">
        <v>113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80"/>
      <c r="AB2" s="9"/>
      <c r="AC2" s="10"/>
      <c r="AD2" s="11"/>
      <c r="AE2" s="10"/>
      <c r="AF2" s="12"/>
      <c r="AG2" s="13"/>
      <c r="AH2" s="10"/>
      <c r="AI2" s="11"/>
      <c r="AJ2" s="10"/>
      <c r="AK2" s="12"/>
      <c r="AL2" s="11"/>
      <c r="AM2" s="10"/>
      <c r="AN2" s="11"/>
      <c r="AO2" s="10"/>
      <c r="AP2" s="14"/>
      <c r="AQ2" s="15"/>
      <c r="AR2" s="16"/>
    </row>
    <row r="3" spans="1:44" s="18" customFormat="1" ht="12" thickBot="1">
      <c r="A3" s="97"/>
      <c r="B3" s="276"/>
      <c r="C3" s="281" t="s">
        <v>201</v>
      </c>
      <c r="D3" s="273"/>
      <c r="E3" s="273"/>
      <c r="F3" s="273"/>
      <c r="G3" s="274"/>
      <c r="H3" s="273" t="s">
        <v>202</v>
      </c>
      <c r="I3" s="273"/>
      <c r="J3" s="273"/>
      <c r="K3" s="273"/>
      <c r="L3" s="274"/>
      <c r="M3" s="272" t="s">
        <v>260</v>
      </c>
      <c r="N3" s="273"/>
      <c r="O3" s="273"/>
      <c r="P3" s="273"/>
      <c r="Q3" s="274"/>
      <c r="R3" s="272" t="s">
        <v>261</v>
      </c>
      <c r="S3" s="273"/>
      <c r="T3" s="273"/>
      <c r="U3" s="273"/>
      <c r="V3" s="274"/>
      <c r="W3" s="273" t="s">
        <v>76</v>
      </c>
      <c r="X3" s="273"/>
      <c r="Y3" s="273"/>
      <c r="Z3" s="273"/>
      <c r="AA3" s="277"/>
      <c r="AB3" s="281" t="s">
        <v>77</v>
      </c>
      <c r="AC3" s="273"/>
      <c r="AD3" s="273"/>
      <c r="AE3" s="273"/>
      <c r="AF3" s="274"/>
      <c r="AG3" s="272" t="s">
        <v>78</v>
      </c>
      <c r="AH3" s="273"/>
      <c r="AI3" s="273"/>
      <c r="AJ3" s="273"/>
      <c r="AK3" s="274"/>
      <c r="AL3" s="273" t="s">
        <v>107</v>
      </c>
      <c r="AM3" s="273"/>
      <c r="AN3" s="273"/>
      <c r="AO3" s="273"/>
      <c r="AP3" s="273"/>
      <c r="AQ3" s="277"/>
      <c r="AR3" s="17"/>
    </row>
    <row r="4" spans="2:44" ht="12.75" customHeight="1" thickTop="1">
      <c r="B4" s="19" t="s">
        <v>79</v>
      </c>
      <c r="C4" s="20">
        <v>0.35</v>
      </c>
      <c r="D4" s="21" t="s">
        <v>106</v>
      </c>
      <c r="E4" s="22">
        <v>1</v>
      </c>
      <c r="F4" s="23" t="s">
        <v>105</v>
      </c>
      <c r="G4" s="24">
        <v>6</v>
      </c>
      <c r="H4" s="25">
        <v>0.3</v>
      </c>
      <c r="I4" s="21" t="s">
        <v>106</v>
      </c>
      <c r="J4" s="22">
        <v>1</v>
      </c>
      <c r="K4" s="23" t="s">
        <v>105</v>
      </c>
      <c r="L4" s="24">
        <v>6</v>
      </c>
      <c r="M4" s="26">
        <v>0.35</v>
      </c>
      <c r="N4" s="21" t="s">
        <v>106</v>
      </c>
      <c r="O4" s="22">
        <v>1</v>
      </c>
      <c r="P4" s="23" t="s">
        <v>105</v>
      </c>
      <c r="Q4" s="24">
        <v>6</v>
      </c>
      <c r="R4" s="26">
        <v>0.4</v>
      </c>
      <c r="S4" s="21" t="s">
        <v>106</v>
      </c>
      <c r="T4" s="22">
        <v>1</v>
      </c>
      <c r="U4" s="23" t="s">
        <v>105</v>
      </c>
      <c r="V4" s="24">
        <v>10</v>
      </c>
      <c r="W4" s="25">
        <v>0.25</v>
      </c>
      <c r="X4" s="21" t="s">
        <v>106</v>
      </c>
      <c r="Y4" s="22">
        <v>1</v>
      </c>
      <c r="Z4" s="23" t="s">
        <v>105</v>
      </c>
      <c r="AA4" s="27">
        <v>4</v>
      </c>
      <c r="AB4" s="20">
        <v>0.6</v>
      </c>
      <c r="AC4" s="21" t="s">
        <v>106</v>
      </c>
      <c r="AD4" s="22">
        <v>4</v>
      </c>
      <c r="AE4" s="23" t="s">
        <v>105</v>
      </c>
      <c r="AF4" s="24">
        <v>40</v>
      </c>
      <c r="AG4" s="26">
        <v>0.5</v>
      </c>
      <c r="AH4" s="21" t="s">
        <v>106</v>
      </c>
      <c r="AI4" s="22">
        <v>3</v>
      </c>
      <c r="AJ4" s="23" t="s">
        <v>105</v>
      </c>
      <c r="AK4" s="24">
        <v>30</v>
      </c>
      <c r="AL4" s="25">
        <v>0.3</v>
      </c>
      <c r="AM4" s="21" t="s">
        <v>106</v>
      </c>
      <c r="AN4" s="22">
        <v>3</v>
      </c>
      <c r="AO4" s="23" t="s">
        <v>105</v>
      </c>
      <c r="AP4" s="28">
        <v>3</v>
      </c>
      <c r="AQ4" s="29" t="s">
        <v>108</v>
      </c>
      <c r="AR4" s="282" t="s">
        <v>111</v>
      </c>
    </row>
    <row r="5" spans="2:44" ht="10.5">
      <c r="B5" s="30" t="s">
        <v>80</v>
      </c>
      <c r="C5" s="31">
        <v>0.5</v>
      </c>
      <c r="D5" s="32" t="s">
        <v>106</v>
      </c>
      <c r="E5" s="33">
        <v>1</v>
      </c>
      <c r="F5" s="34" t="s">
        <v>105</v>
      </c>
      <c r="G5" s="35">
        <v>8</v>
      </c>
      <c r="H5" s="36">
        <v>0.25</v>
      </c>
      <c r="I5" s="32" t="s">
        <v>106</v>
      </c>
      <c r="J5" s="33">
        <v>1</v>
      </c>
      <c r="K5" s="34" t="s">
        <v>105</v>
      </c>
      <c r="L5" s="35">
        <v>6</v>
      </c>
      <c r="M5" s="37">
        <v>0.25</v>
      </c>
      <c r="N5" s="32" t="s">
        <v>106</v>
      </c>
      <c r="O5" s="33">
        <v>1</v>
      </c>
      <c r="P5" s="34" t="s">
        <v>105</v>
      </c>
      <c r="Q5" s="35">
        <v>4</v>
      </c>
      <c r="R5" s="37">
        <v>0.25</v>
      </c>
      <c r="S5" s="32" t="s">
        <v>106</v>
      </c>
      <c r="T5" s="33">
        <v>1</v>
      </c>
      <c r="U5" s="34" t="s">
        <v>105</v>
      </c>
      <c r="V5" s="35">
        <v>3</v>
      </c>
      <c r="W5" s="38">
        <v>0</v>
      </c>
      <c r="X5" s="39" t="s">
        <v>106</v>
      </c>
      <c r="Y5" s="40">
        <v>0</v>
      </c>
      <c r="Z5" s="41" t="s">
        <v>105</v>
      </c>
      <c r="AA5" s="42">
        <v>0</v>
      </c>
      <c r="AB5" s="31">
        <v>0.3</v>
      </c>
      <c r="AC5" s="32" t="s">
        <v>106</v>
      </c>
      <c r="AD5" s="33">
        <v>1</v>
      </c>
      <c r="AE5" s="34" t="s">
        <v>105</v>
      </c>
      <c r="AF5" s="35">
        <v>8</v>
      </c>
      <c r="AG5" s="37">
        <v>0.2</v>
      </c>
      <c r="AH5" s="32" t="s">
        <v>106</v>
      </c>
      <c r="AI5" s="33">
        <v>1</v>
      </c>
      <c r="AJ5" s="34" t="s">
        <v>105</v>
      </c>
      <c r="AK5" s="35">
        <v>4</v>
      </c>
      <c r="AL5" s="36">
        <v>0.1</v>
      </c>
      <c r="AM5" s="32" t="s">
        <v>106</v>
      </c>
      <c r="AN5" s="33">
        <v>1</v>
      </c>
      <c r="AO5" s="34" t="s">
        <v>105</v>
      </c>
      <c r="AP5" s="43">
        <v>1</v>
      </c>
      <c r="AQ5" s="44" t="s">
        <v>109</v>
      </c>
      <c r="AR5" s="282"/>
    </row>
    <row r="6" spans="2:44" ht="10.5">
      <c r="B6" s="30" t="s">
        <v>81</v>
      </c>
      <c r="C6" s="31">
        <v>0.2</v>
      </c>
      <c r="D6" s="32" t="s">
        <v>106</v>
      </c>
      <c r="E6" s="33">
        <v>1</v>
      </c>
      <c r="F6" s="34" t="s">
        <v>105</v>
      </c>
      <c r="G6" s="35">
        <v>12</v>
      </c>
      <c r="H6" s="36">
        <v>0.3</v>
      </c>
      <c r="I6" s="32" t="s">
        <v>106</v>
      </c>
      <c r="J6" s="33">
        <v>1</v>
      </c>
      <c r="K6" s="34" t="s">
        <v>105</v>
      </c>
      <c r="L6" s="35">
        <v>6</v>
      </c>
      <c r="M6" s="37">
        <v>0.1</v>
      </c>
      <c r="N6" s="32" t="s">
        <v>106</v>
      </c>
      <c r="O6" s="33">
        <v>1</v>
      </c>
      <c r="P6" s="34" t="s">
        <v>105</v>
      </c>
      <c r="Q6" s="35">
        <v>4</v>
      </c>
      <c r="R6" s="45">
        <v>0</v>
      </c>
      <c r="S6" s="39" t="s">
        <v>106</v>
      </c>
      <c r="T6" s="40">
        <v>0</v>
      </c>
      <c r="U6" s="41" t="s">
        <v>105</v>
      </c>
      <c r="V6" s="46">
        <v>0</v>
      </c>
      <c r="W6" s="38">
        <v>0</v>
      </c>
      <c r="X6" s="39" t="s">
        <v>106</v>
      </c>
      <c r="Y6" s="40">
        <v>0</v>
      </c>
      <c r="Z6" s="41" t="s">
        <v>105</v>
      </c>
      <c r="AA6" s="42">
        <v>0</v>
      </c>
      <c r="AB6" s="31">
        <v>0.25</v>
      </c>
      <c r="AC6" s="32" t="s">
        <v>106</v>
      </c>
      <c r="AD6" s="33">
        <v>1</v>
      </c>
      <c r="AE6" s="34" t="s">
        <v>105</v>
      </c>
      <c r="AF6" s="35">
        <v>6</v>
      </c>
      <c r="AG6" s="37">
        <v>0.2</v>
      </c>
      <c r="AH6" s="32" t="s">
        <v>106</v>
      </c>
      <c r="AI6" s="33">
        <v>1</v>
      </c>
      <c r="AJ6" s="34" t="s">
        <v>105</v>
      </c>
      <c r="AK6" s="35">
        <v>3</v>
      </c>
      <c r="AL6" s="36">
        <v>0.1</v>
      </c>
      <c r="AM6" s="32" t="s">
        <v>106</v>
      </c>
      <c r="AN6" s="33">
        <v>2</v>
      </c>
      <c r="AO6" s="34" t="s">
        <v>105</v>
      </c>
      <c r="AP6" s="43">
        <v>2</v>
      </c>
      <c r="AQ6" s="44" t="s">
        <v>110</v>
      </c>
      <c r="AR6" s="282"/>
    </row>
    <row r="7" spans="2:44" ht="10.5">
      <c r="B7" s="30" t="s">
        <v>82</v>
      </c>
      <c r="C7" s="31">
        <v>0.1</v>
      </c>
      <c r="D7" s="32" t="s">
        <v>106</v>
      </c>
      <c r="E7" s="33">
        <v>1</v>
      </c>
      <c r="F7" s="34" t="s">
        <v>105</v>
      </c>
      <c r="G7" s="35">
        <v>8</v>
      </c>
      <c r="H7" s="36">
        <v>0.15</v>
      </c>
      <c r="I7" s="32" t="s">
        <v>106</v>
      </c>
      <c r="J7" s="33">
        <v>1</v>
      </c>
      <c r="K7" s="34" t="s">
        <v>105</v>
      </c>
      <c r="L7" s="35">
        <v>12</v>
      </c>
      <c r="M7" s="37">
        <v>0.15</v>
      </c>
      <c r="N7" s="32" t="s">
        <v>106</v>
      </c>
      <c r="O7" s="33">
        <v>1</v>
      </c>
      <c r="P7" s="34" t="s">
        <v>105</v>
      </c>
      <c r="Q7" s="35">
        <v>8</v>
      </c>
      <c r="R7" s="37">
        <v>0.5</v>
      </c>
      <c r="S7" s="32" t="s">
        <v>106</v>
      </c>
      <c r="T7" s="33">
        <v>1</v>
      </c>
      <c r="U7" s="34" t="s">
        <v>105</v>
      </c>
      <c r="V7" s="35">
        <v>6</v>
      </c>
      <c r="W7" s="38">
        <v>0</v>
      </c>
      <c r="X7" s="39" t="s">
        <v>106</v>
      </c>
      <c r="Y7" s="40">
        <v>0</v>
      </c>
      <c r="Z7" s="41" t="s">
        <v>105</v>
      </c>
      <c r="AA7" s="42">
        <v>0</v>
      </c>
      <c r="AB7" s="31">
        <v>0.3</v>
      </c>
      <c r="AC7" s="32" t="s">
        <v>106</v>
      </c>
      <c r="AD7" s="33">
        <v>1</v>
      </c>
      <c r="AE7" s="34" t="s">
        <v>105</v>
      </c>
      <c r="AF7" s="35">
        <v>10</v>
      </c>
      <c r="AG7" s="37">
        <v>0.25</v>
      </c>
      <c r="AH7" s="32" t="s">
        <v>106</v>
      </c>
      <c r="AI7" s="33">
        <v>1</v>
      </c>
      <c r="AJ7" s="34" t="s">
        <v>105</v>
      </c>
      <c r="AK7" s="35">
        <v>6</v>
      </c>
      <c r="AL7" s="36">
        <v>0.15</v>
      </c>
      <c r="AM7" s="32" t="s">
        <v>106</v>
      </c>
      <c r="AN7" s="33">
        <v>3</v>
      </c>
      <c r="AO7" s="34" t="s">
        <v>105</v>
      </c>
      <c r="AP7" s="43">
        <v>3</v>
      </c>
      <c r="AQ7" s="44" t="s">
        <v>117</v>
      </c>
      <c r="AR7" s="282"/>
    </row>
    <row r="8" spans="2:44" ht="10.5">
      <c r="B8" s="30" t="s">
        <v>83</v>
      </c>
      <c r="C8" s="31">
        <v>0.05</v>
      </c>
      <c r="D8" s="32" t="s">
        <v>106</v>
      </c>
      <c r="E8" s="33">
        <v>1</v>
      </c>
      <c r="F8" s="34" t="s">
        <v>105</v>
      </c>
      <c r="G8" s="35">
        <v>10</v>
      </c>
      <c r="H8" s="36">
        <v>0.25</v>
      </c>
      <c r="I8" s="32" t="s">
        <v>106</v>
      </c>
      <c r="J8" s="33">
        <v>1</v>
      </c>
      <c r="K8" s="34" t="s">
        <v>105</v>
      </c>
      <c r="L8" s="35">
        <v>12</v>
      </c>
      <c r="M8" s="37">
        <v>0.25</v>
      </c>
      <c r="N8" s="32" t="s">
        <v>106</v>
      </c>
      <c r="O8" s="33">
        <v>1</v>
      </c>
      <c r="P8" s="34" t="s">
        <v>105</v>
      </c>
      <c r="Q8" s="35">
        <v>6</v>
      </c>
      <c r="R8" s="37">
        <v>0.25</v>
      </c>
      <c r="S8" s="32" t="s">
        <v>106</v>
      </c>
      <c r="T8" s="33">
        <v>1</v>
      </c>
      <c r="U8" s="34" t="s">
        <v>105</v>
      </c>
      <c r="V8" s="35">
        <v>8</v>
      </c>
      <c r="W8" s="38">
        <v>0</v>
      </c>
      <c r="X8" s="39" t="s">
        <v>106</v>
      </c>
      <c r="Y8" s="40">
        <v>0</v>
      </c>
      <c r="Z8" s="41" t="s">
        <v>105</v>
      </c>
      <c r="AA8" s="42">
        <v>0</v>
      </c>
      <c r="AB8" s="31">
        <v>0.15</v>
      </c>
      <c r="AC8" s="32" t="s">
        <v>106</v>
      </c>
      <c r="AD8" s="33">
        <v>1</v>
      </c>
      <c r="AE8" s="34" t="s">
        <v>105</v>
      </c>
      <c r="AF8" s="35">
        <v>12</v>
      </c>
      <c r="AG8" s="37">
        <v>0.1</v>
      </c>
      <c r="AH8" s="32" t="s">
        <v>106</v>
      </c>
      <c r="AI8" s="33">
        <v>1</v>
      </c>
      <c r="AJ8" s="34" t="s">
        <v>105</v>
      </c>
      <c r="AK8" s="35">
        <v>8</v>
      </c>
      <c r="AL8" s="36">
        <v>0.25</v>
      </c>
      <c r="AM8" s="32" t="s">
        <v>106</v>
      </c>
      <c r="AN8" s="33">
        <v>4</v>
      </c>
      <c r="AO8" s="34" t="s">
        <v>105</v>
      </c>
      <c r="AP8" s="43">
        <v>4</v>
      </c>
      <c r="AQ8" s="44" t="s">
        <v>118</v>
      </c>
      <c r="AR8" s="282"/>
    </row>
    <row r="9" spans="2:44" ht="21" customHeight="1">
      <c r="B9" s="30" t="s">
        <v>84</v>
      </c>
      <c r="C9" s="47">
        <v>0</v>
      </c>
      <c r="D9" s="39" t="s">
        <v>106</v>
      </c>
      <c r="E9" s="40">
        <v>0</v>
      </c>
      <c r="F9" s="41" t="s">
        <v>105</v>
      </c>
      <c r="G9" s="46">
        <v>0</v>
      </c>
      <c r="H9" s="36">
        <v>0.1</v>
      </c>
      <c r="I9" s="32" t="s">
        <v>106</v>
      </c>
      <c r="J9" s="33">
        <v>1</v>
      </c>
      <c r="K9" s="34" t="s">
        <v>105</v>
      </c>
      <c r="L9" s="35">
        <v>20</v>
      </c>
      <c r="M9" s="37">
        <v>0.15</v>
      </c>
      <c r="N9" s="32" t="s">
        <v>106</v>
      </c>
      <c r="O9" s="33">
        <v>1</v>
      </c>
      <c r="P9" s="34" t="s">
        <v>105</v>
      </c>
      <c r="Q9" s="35">
        <v>12</v>
      </c>
      <c r="R9" s="37">
        <v>0.4</v>
      </c>
      <c r="S9" s="32" t="s">
        <v>106</v>
      </c>
      <c r="T9" s="33">
        <v>1</v>
      </c>
      <c r="U9" s="34" t="s">
        <v>105</v>
      </c>
      <c r="V9" s="35">
        <v>10</v>
      </c>
      <c r="W9" s="36">
        <v>0.35</v>
      </c>
      <c r="X9" s="32" t="s">
        <v>106</v>
      </c>
      <c r="Y9" s="33">
        <v>1</v>
      </c>
      <c r="Z9" s="34" t="s">
        <v>105</v>
      </c>
      <c r="AA9" s="48">
        <v>8</v>
      </c>
      <c r="AB9" s="31">
        <v>0.2</v>
      </c>
      <c r="AC9" s="32" t="s">
        <v>106</v>
      </c>
      <c r="AD9" s="33">
        <v>3</v>
      </c>
      <c r="AE9" s="34" t="s">
        <v>105</v>
      </c>
      <c r="AF9" s="35">
        <v>30</v>
      </c>
      <c r="AG9" s="37">
        <v>0.1</v>
      </c>
      <c r="AH9" s="32" t="s">
        <v>106</v>
      </c>
      <c r="AI9" s="33">
        <v>1</v>
      </c>
      <c r="AJ9" s="34" t="s">
        <v>105</v>
      </c>
      <c r="AK9" s="35">
        <v>10</v>
      </c>
      <c r="AL9" s="36">
        <v>0.3</v>
      </c>
      <c r="AM9" s="32" t="s">
        <v>106</v>
      </c>
      <c r="AN9" s="33">
        <v>5</v>
      </c>
      <c r="AO9" s="34" t="s">
        <v>105</v>
      </c>
      <c r="AP9" s="43">
        <v>5</v>
      </c>
      <c r="AQ9" s="44" t="s">
        <v>122</v>
      </c>
      <c r="AR9" s="282"/>
    </row>
    <row r="10" spans="2:44" ht="12.75" customHeight="1">
      <c r="B10" s="30" t="s">
        <v>85</v>
      </c>
      <c r="C10" s="47">
        <v>0</v>
      </c>
      <c r="D10" s="39" t="s">
        <v>106</v>
      </c>
      <c r="E10" s="40">
        <v>0</v>
      </c>
      <c r="F10" s="41" t="s">
        <v>105</v>
      </c>
      <c r="G10" s="46">
        <v>0</v>
      </c>
      <c r="H10" s="38">
        <v>0</v>
      </c>
      <c r="I10" s="39" t="s">
        <v>106</v>
      </c>
      <c r="J10" s="40">
        <v>0</v>
      </c>
      <c r="K10" s="41" t="s">
        <v>105</v>
      </c>
      <c r="L10" s="46">
        <v>0</v>
      </c>
      <c r="M10" s="45">
        <v>0</v>
      </c>
      <c r="N10" s="39" t="s">
        <v>106</v>
      </c>
      <c r="O10" s="40">
        <v>0</v>
      </c>
      <c r="P10" s="41" t="s">
        <v>105</v>
      </c>
      <c r="Q10" s="46">
        <v>0</v>
      </c>
      <c r="R10" s="37">
        <v>0.5</v>
      </c>
      <c r="S10" s="32" t="s">
        <v>106</v>
      </c>
      <c r="T10" s="33">
        <v>10</v>
      </c>
      <c r="U10" s="34" t="s">
        <v>105</v>
      </c>
      <c r="V10" s="35">
        <v>40</v>
      </c>
      <c r="W10" s="36">
        <v>0.5</v>
      </c>
      <c r="X10" s="32" t="s">
        <v>106</v>
      </c>
      <c r="Y10" s="33">
        <v>1</v>
      </c>
      <c r="Z10" s="34" t="s">
        <v>105</v>
      </c>
      <c r="AA10" s="48">
        <v>20</v>
      </c>
      <c r="AB10" s="31">
        <v>0.3</v>
      </c>
      <c r="AC10" s="32" t="s">
        <v>106</v>
      </c>
      <c r="AD10" s="33">
        <v>5</v>
      </c>
      <c r="AE10" s="34" t="s">
        <v>105</v>
      </c>
      <c r="AF10" s="35">
        <v>20</v>
      </c>
      <c r="AG10" s="37">
        <v>0.25</v>
      </c>
      <c r="AH10" s="32" t="s">
        <v>106</v>
      </c>
      <c r="AI10" s="33">
        <v>1</v>
      </c>
      <c r="AJ10" s="34" t="s">
        <v>105</v>
      </c>
      <c r="AK10" s="35">
        <v>10</v>
      </c>
      <c r="AL10" s="36">
        <v>0.35</v>
      </c>
      <c r="AM10" s="32" t="s">
        <v>106</v>
      </c>
      <c r="AN10" s="33">
        <v>5</v>
      </c>
      <c r="AO10" s="34" t="s">
        <v>105</v>
      </c>
      <c r="AP10" s="43">
        <v>5</v>
      </c>
      <c r="AQ10" s="44" t="s">
        <v>119</v>
      </c>
      <c r="AR10" s="282"/>
    </row>
    <row r="11" spans="2:44" ht="10.5">
      <c r="B11" s="30" t="s">
        <v>86</v>
      </c>
      <c r="C11" s="31">
        <v>0.25</v>
      </c>
      <c r="D11" s="32" t="s">
        <v>106</v>
      </c>
      <c r="E11" s="33">
        <v>5</v>
      </c>
      <c r="F11" s="34" t="s">
        <v>105</v>
      </c>
      <c r="G11" s="35">
        <v>30</v>
      </c>
      <c r="H11" s="36">
        <v>0.4</v>
      </c>
      <c r="I11" s="32" t="s">
        <v>106</v>
      </c>
      <c r="J11" s="33">
        <v>1</v>
      </c>
      <c r="K11" s="34" t="s">
        <v>105</v>
      </c>
      <c r="L11" s="35">
        <v>100</v>
      </c>
      <c r="M11" s="37">
        <v>0.4</v>
      </c>
      <c r="N11" s="32" t="s">
        <v>106</v>
      </c>
      <c r="O11" s="33">
        <v>10</v>
      </c>
      <c r="P11" s="34" t="s">
        <v>105</v>
      </c>
      <c r="Q11" s="35">
        <v>40</v>
      </c>
      <c r="R11" s="37">
        <v>0.55</v>
      </c>
      <c r="S11" s="32" t="s">
        <v>106</v>
      </c>
      <c r="T11" s="33">
        <v>10</v>
      </c>
      <c r="U11" s="34" t="s">
        <v>105</v>
      </c>
      <c r="V11" s="35">
        <v>60</v>
      </c>
      <c r="W11" s="36">
        <v>0.25</v>
      </c>
      <c r="X11" s="32" t="s">
        <v>106</v>
      </c>
      <c r="Y11" s="33">
        <v>5</v>
      </c>
      <c r="Z11" s="34" t="s">
        <v>105</v>
      </c>
      <c r="AA11" s="48">
        <v>50</v>
      </c>
      <c r="AB11" s="31">
        <v>0.5</v>
      </c>
      <c r="AC11" s="32" t="s">
        <v>106</v>
      </c>
      <c r="AD11" s="33">
        <v>1</v>
      </c>
      <c r="AE11" s="34" t="s">
        <v>105</v>
      </c>
      <c r="AF11" s="35">
        <v>100</v>
      </c>
      <c r="AG11" s="37">
        <v>0.5</v>
      </c>
      <c r="AH11" s="32" t="s">
        <v>106</v>
      </c>
      <c r="AI11" s="33">
        <v>10</v>
      </c>
      <c r="AJ11" s="34" t="s">
        <v>105</v>
      </c>
      <c r="AK11" s="35">
        <v>40</v>
      </c>
      <c r="AL11" s="36">
        <v>0.15</v>
      </c>
      <c r="AM11" s="32" t="s">
        <v>106</v>
      </c>
      <c r="AN11" s="33">
        <v>6</v>
      </c>
      <c r="AO11" s="34" t="s">
        <v>105</v>
      </c>
      <c r="AP11" s="43">
        <v>6</v>
      </c>
      <c r="AQ11" s="44" t="s">
        <v>120</v>
      </c>
      <c r="AR11" s="282"/>
    </row>
    <row r="12" spans="2:44" ht="12" thickBot="1">
      <c r="B12" s="49" t="s">
        <v>87</v>
      </c>
      <c r="C12" s="50">
        <v>0</v>
      </c>
      <c r="D12" s="51" t="s">
        <v>106</v>
      </c>
      <c r="E12" s="52">
        <v>0</v>
      </c>
      <c r="F12" s="53" t="s">
        <v>105</v>
      </c>
      <c r="G12" s="54">
        <v>0</v>
      </c>
      <c r="H12" s="55">
        <v>0</v>
      </c>
      <c r="I12" s="51" t="s">
        <v>106</v>
      </c>
      <c r="J12" s="52">
        <v>0</v>
      </c>
      <c r="K12" s="53" t="s">
        <v>105</v>
      </c>
      <c r="L12" s="54">
        <v>0</v>
      </c>
      <c r="M12" s="56">
        <v>0</v>
      </c>
      <c r="N12" s="51" t="s">
        <v>106</v>
      </c>
      <c r="O12" s="52">
        <v>0</v>
      </c>
      <c r="P12" s="53" t="s">
        <v>105</v>
      </c>
      <c r="Q12" s="54">
        <v>0</v>
      </c>
      <c r="R12" s="56">
        <v>0</v>
      </c>
      <c r="S12" s="51" t="s">
        <v>106</v>
      </c>
      <c r="T12" s="52">
        <v>0</v>
      </c>
      <c r="U12" s="53" t="s">
        <v>105</v>
      </c>
      <c r="V12" s="54">
        <v>0</v>
      </c>
      <c r="W12" s="57">
        <v>0.3</v>
      </c>
      <c r="X12" s="58" t="s">
        <v>106</v>
      </c>
      <c r="Y12" s="59">
        <v>3</v>
      </c>
      <c r="Z12" s="60" t="s">
        <v>105</v>
      </c>
      <c r="AA12" s="61">
        <v>18</v>
      </c>
      <c r="AB12" s="62">
        <v>0.55</v>
      </c>
      <c r="AC12" s="58" t="s">
        <v>106</v>
      </c>
      <c r="AD12" s="59">
        <v>2</v>
      </c>
      <c r="AE12" s="60" t="s">
        <v>105</v>
      </c>
      <c r="AF12" s="63">
        <v>20</v>
      </c>
      <c r="AG12" s="64">
        <v>0.5</v>
      </c>
      <c r="AH12" s="58" t="s">
        <v>106</v>
      </c>
      <c r="AI12" s="59">
        <v>1</v>
      </c>
      <c r="AJ12" s="60" t="s">
        <v>105</v>
      </c>
      <c r="AK12" s="63">
        <v>12</v>
      </c>
      <c r="AL12" s="57">
        <v>0.15</v>
      </c>
      <c r="AM12" s="58" t="s">
        <v>106</v>
      </c>
      <c r="AN12" s="59">
        <v>1</v>
      </c>
      <c r="AO12" s="60" t="s">
        <v>105</v>
      </c>
      <c r="AP12" s="65">
        <v>1</v>
      </c>
      <c r="AQ12" s="66" t="s">
        <v>224</v>
      </c>
      <c r="AR12" s="283"/>
    </row>
    <row r="13" spans="2:44" ht="12.75" customHeight="1">
      <c r="B13" s="67" t="s">
        <v>88</v>
      </c>
      <c r="C13" s="68">
        <v>1</v>
      </c>
      <c r="D13" s="69" t="s">
        <v>106</v>
      </c>
      <c r="E13" s="70">
        <v>3</v>
      </c>
      <c r="F13" s="71" t="s">
        <v>105</v>
      </c>
      <c r="G13" s="72">
        <v>24</v>
      </c>
      <c r="H13" s="73">
        <v>0</v>
      </c>
      <c r="I13" s="74" t="s">
        <v>106</v>
      </c>
      <c r="J13" s="75">
        <v>0</v>
      </c>
      <c r="K13" s="76" t="s">
        <v>105</v>
      </c>
      <c r="L13" s="77">
        <v>0</v>
      </c>
      <c r="M13" s="78">
        <v>0</v>
      </c>
      <c r="N13" s="74" t="s">
        <v>106</v>
      </c>
      <c r="O13" s="75">
        <v>0</v>
      </c>
      <c r="P13" s="76" t="s">
        <v>105</v>
      </c>
      <c r="Q13" s="77">
        <v>0</v>
      </c>
      <c r="R13" s="78">
        <v>0</v>
      </c>
      <c r="S13" s="74" t="s">
        <v>106</v>
      </c>
      <c r="T13" s="75">
        <v>0</v>
      </c>
      <c r="U13" s="76" t="s">
        <v>105</v>
      </c>
      <c r="V13" s="77">
        <v>0</v>
      </c>
      <c r="W13" s="73">
        <v>0</v>
      </c>
      <c r="X13" s="74" t="s">
        <v>106</v>
      </c>
      <c r="Y13" s="75">
        <v>0</v>
      </c>
      <c r="Z13" s="76" t="s">
        <v>105</v>
      </c>
      <c r="AA13" s="79">
        <v>0</v>
      </c>
      <c r="AB13" s="80">
        <v>0</v>
      </c>
      <c r="AC13" s="74" t="s">
        <v>106</v>
      </c>
      <c r="AD13" s="75">
        <v>0</v>
      </c>
      <c r="AE13" s="76" t="s">
        <v>105</v>
      </c>
      <c r="AF13" s="77">
        <v>0</v>
      </c>
      <c r="AG13" s="78">
        <v>0</v>
      </c>
      <c r="AH13" s="74" t="s">
        <v>106</v>
      </c>
      <c r="AI13" s="75">
        <v>0</v>
      </c>
      <c r="AJ13" s="76" t="s">
        <v>105</v>
      </c>
      <c r="AK13" s="77">
        <v>0</v>
      </c>
      <c r="AL13" s="73">
        <v>0</v>
      </c>
      <c r="AM13" s="74" t="s">
        <v>106</v>
      </c>
      <c r="AN13" s="75">
        <v>0</v>
      </c>
      <c r="AO13" s="76" t="s">
        <v>105</v>
      </c>
      <c r="AP13" s="81">
        <v>0</v>
      </c>
      <c r="AQ13" s="82"/>
      <c r="AR13" s="284" t="s">
        <v>112</v>
      </c>
    </row>
    <row r="14" spans="2:44" ht="10.5">
      <c r="B14" s="30" t="s">
        <v>89</v>
      </c>
      <c r="C14" s="47">
        <v>0</v>
      </c>
      <c r="D14" s="39" t="s">
        <v>106</v>
      </c>
      <c r="E14" s="40">
        <v>0</v>
      </c>
      <c r="F14" s="41" t="s">
        <v>105</v>
      </c>
      <c r="G14" s="46">
        <v>0</v>
      </c>
      <c r="H14" s="36">
        <v>1</v>
      </c>
      <c r="I14" s="32" t="s">
        <v>106</v>
      </c>
      <c r="J14" s="33">
        <v>3</v>
      </c>
      <c r="K14" s="34" t="s">
        <v>105</v>
      </c>
      <c r="L14" s="35">
        <v>18</v>
      </c>
      <c r="M14" s="45">
        <v>0</v>
      </c>
      <c r="N14" s="39" t="s">
        <v>106</v>
      </c>
      <c r="O14" s="40">
        <v>0</v>
      </c>
      <c r="P14" s="41" t="s">
        <v>105</v>
      </c>
      <c r="Q14" s="46">
        <v>0</v>
      </c>
      <c r="R14" s="45">
        <v>0</v>
      </c>
      <c r="S14" s="39" t="s">
        <v>106</v>
      </c>
      <c r="T14" s="40">
        <v>0</v>
      </c>
      <c r="U14" s="41" t="s">
        <v>105</v>
      </c>
      <c r="V14" s="46">
        <v>0</v>
      </c>
      <c r="W14" s="38">
        <v>0</v>
      </c>
      <c r="X14" s="39" t="s">
        <v>106</v>
      </c>
      <c r="Y14" s="40">
        <v>0</v>
      </c>
      <c r="Z14" s="41" t="s">
        <v>105</v>
      </c>
      <c r="AA14" s="42">
        <v>0</v>
      </c>
      <c r="AB14" s="47">
        <v>0</v>
      </c>
      <c r="AC14" s="39" t="s">
        <v>106</v>
      </c>
      <c r="AD14" s="40">
        <v>0</v>
      </c>
      <c r="AE14" s="41" t="s">
        <v>105</v>
      </c>
      <c r="AF14" s="46">
        <v>0</v>
      </c>
      <c r="AG14" s="45">
        <v>0</v>
      </c>
      <c r="AH14" s="39" t="s">
        <v>106</v>
      </c>
      <c r="AI14" s="40">
        <v>0</v>
      </c>
      <c r="AJ14" s="41" t="s">
        <v>105</v>
      </c>
      <c r="AK14" s="46">
        <v>0</v>
      </c>
      <c r="AL14" s="38">
        <v>0</v>
      </c>
      <c r="AM14" s="39" t="s">
        <v>106</v>
      </c>
      <c r="AN14" s="40">
        <v>0</v>
      </c>
      <c r="AO14" s="41" t="s">
        <v>105</v>
      </c>
      <c r="AP14" s="83">
        <v>0</v>
      </c>
      <c r="AQ14" s="84"/>
      <c r="AR14" s="285"/>
    </row>
    <row r="15" spans="2:44" ht="10.5">
      <c r="B15" s="30" t="s">
        <v>90</v>
      </c>
      <c r="C15" s="47">
        <v>0</v>
      </c>
      <c r="D15" s="39" t="s">
        <v>106</v>
      </c>
      <c r="E15" s="40">
        <v>0</v>
      </c>
      <c r="F15" s="41" t="s">
        <v>105</v>
      </c>
      <c r="G15" s="46">
        <v>0</v>
      </c>
      <c r="H15" s="38">
        <v>0</v>
      </c>
      <c r="I15" s="39" t="s">
        <v>106</v>
      </c>
      <c r="J15" s="40">
        <v>0</v>
      </c>
      <c r="K15" s="41" t="s">
        <v>105</v>
      </c>
      <c r="L15" s="46">
        <v>0</v>
      </c>
      <c r="M15" s="37">
        <v>1</v>
      </c>
      <c r="N15" s="32" t="s">
        <v>106</v>
      </c>
      <c r="O15" s="33">
        <v>2</v>
      </c>
      <c r="P15" s="34" t="s">
        <v>105</v>
      </c>
      <c r="Q15" s="35">
        <v>12</v>
      </c>
      <c r="R15" s="45">
        <v>0</v>
      </c>
      <c r="S15" s="39" t="s">
        <v>106</v>
      </c>
      <c r="T15" s="40">
        <v>0</v>
      </c>
      <c r="U15" s="41" t="s">
        <v>105</v>
      </c>
      <c r="V15" s="46">
        <v>0</v>
      </c>
      <c r="W15" s="38">
        <v>0</v>
      </c>
      <c r="X15" s="39" t="s">
        <v>106</v>
      </c>
      <c r="Y15" s="40">
        <v>0</v>
      </c>
      <c r="Z15" s="41" t="s">
        <v>105</v>
      </c>
      <c r="AA15" s="42">
        <v>0</v>
      </c>
      <c r="AB15" s="47">
        <v>0</v>
      </c>
      <c r="AC15" s="39" t="s">
        <v>106</v>
      </c>
      <c r="AD15" s="40">
        <v>0</v>
      </c>
      <c r="AE15" s="41" t="s">
        <v>105</v>
      </c>
      <c r="AF15" s="46">
        <v>0</v>
      </c>
      <c r="AG15" s="45">
        <v>0</v>
      </c>
      <c r="AH15" s="39" t="s">
        <v>106</v>
      </c>
      <c r="AI15" s="40">
        <v>0</v>
      </c>
      <c r="AJ15" s="41" t="s">
        <v>105</v>
      </c>
      <c r="AK15" s="46">
        <v>0</v>
      </c>
      <c r="AL15" s="38">
        <v>0</v>
      </c>
      <c r="AM15" s="39" t="s">
        <v>106</v>
      </c>
      <c r="AN15" s="40">
        <v>0</v>
      </c>
      <c r="AO15" s="41" t="s">
        <v>105</v>
      </c>
      <c r="AP15" s="83">
        <v>0</v>
      </c>
      <c r="AQ15" s="84"/>
      <c r="AR15" s="285"/>
    </row>
    <row r="16" spans="2:44" ht="10.5">
      <c r="B16" s="30" t="s">
        <v>91</v>
      </c>
      <c r="C16" s="47">
        <v>0</v>
      </c>
      <c r="D16" s="39" t="s">
        <v>106</v>
      </c>
      <c r="E16" s="40">
        <v>0</v>
      </c>
      <c r="F16" s="41" t="s">
        <v>105</v>
      </c>
      <c r="G16" s="46">
        <v>0</v>
      </c>
      <c r="H16" s="38">
        <v>0</v>
      </c>
      <c r="I16" s="39" t="s">
        <v>106</v>
      </c>
      <c r="J16" s="40">
        <v>0</v>
      </c>
      <c r="K16" s="41" t="s">
        <v>105</v>
      </c>
      <c r="L16" s="46">
        <v>0</v>
      </c>
      <c r="M16" s="45">
        <v>0</v>
      </c>
      <c r="N16" s="39" t="s">
        <v>106</v>
      </c>
      <c r="O16" s="40">
        <v>0</v>
      </c>
      <c r="P16" s="41" t="s">
        <v>105</v>
      </c>
      <c r="Q16" s="46">
        <v>0</v>
      </c>
      <c r="R16" s="37">
        <v>1</v>
      </c>
      <c r="S16" s="32" t="s">
        <v>106</v>
      </c>
      <c r="T16" s="33">
        <v>2</v>
      </c>
      <c r="U16" s="34" t="s">
        <v>105</v>
      </c>
      <c r="V16" s="35">
        <v>8</v>
      </c>
      <c r="W16" s="38">
        <v>0</v>
      </c>
      <c r="X16" s="39" t="s">
        <v>106</v>
      </c>
      <c r="Y16" s="40">
        <v>0</v>
      </c>
      <c r="Z16" s="41" t="s">
        <v>105</v>
      </c>
      <c r="AA16" s="42">
        <v>0</v>
      </c>
      <c r="AB16" s="47">
        <v>0</v>
      </c>
      <c r="AC16" s="39" t="s">
        <v>106</v>
      </c>
      <c r="AD16" s="40">
        <v>0</v>
      </c>
      <c r="AE16" s="41" t="s">
        <v>105</v>
      </c>
      <c r="AF16" s="46">
        <v>0</v>
      </c>
      <c r="AG16" s="45">
        <v>0</v>
      </c>
      <c r="AH16" s="39" t="s">
        <v>106</v>
      </c>
      <c r="AI16" s="40">
        <v>0</v>
      </c>
      <c r="AJ16" s="41" t="s">
        <v>105</v>
      </c>
      <c r="AK16" s="46">
        <v>0</v>
      </c>
      <c r="AL16" s="38">
        <v>0</v>
      </c>
      <c r="AM16" s="39" t="s">
        <v>106</v>
      </c>
      <c r="AN16" s="40">
        <v>0</v>
      </c>
      <c r="AO16" s="41" t="s">
        <v>105</v>
      </c>
      <c r="AP16" s="83">
        <v>0</v>
      </c>
      <c r="AQ16" s="84"/>
      <c r="AR16" s="285"/>
    </row>
    <row r="17" spans="2:44" ht="10.5">
      <c r="B17" s="30" t="s">
        <v>92</v>
      </c>
      <c r="C17" s="47">
        <v>0</v>
      </c>
      <c r="D17" s="39" t="s">
        <v>106</v>
      </c>
      <c r="E17" s="40">
        <v>0</v>
      </c>
      <c r="F17" s="41" t="s">
        <v>105</v>
      </c>
      <c r="G17" s="46">
        <v>0</v>
      </c>
      <c r="H17" s="38">
        <v>0</v>
      </c>
      <c r="I17" s="39" t="s">
        <v>106</v>
      </c>
      <c r="J17" s="40">
        <v>0</v>
      </c>
      <c r="K17" s="41" t="s">
        <v>105</v>
      </c>
      <c r="L17" s="46">
        <v>0</v>
      </c>
      <c r="M17" s="45">
        <v>0</v>
      </c>
      <c r="N17" s="39" t="s">
        <v>106</v>
      </c>
      <c r="O17" s="40">
        <v>0</v>
      </c>
      <c r="P17" s="41" t="s">
        <v>105</v>
      </c>
      <c r="Q17" s="46">
        <v>0</v>
      </c>
      <c r="R17" s="45">
        <v>0</v>
      </c>
      <c r="S17" s="39" t="s">
        <v>106</v>
      </c>
      <c r="T17" s="40">
        <v>0</v>
      </c>
      <c r="U17" s="41" t="s">
        <v>105</v>
      </c>
      <c r="V17" s="46">
        <v>0</v>
      </c>
      <c r="W17" s="36">
        <v>1</v>
      </c>
      <c r="X17" s="32" t="s">
        <v>106</v>
      </c>
      <c r="Y17" s="33">
        <v>1</v>
      </c>
      <c r="Z17" s="34" t="s">
        <v>105</v>
      </c>
      <c r="AA17" s="48">
        <v>6</v>
      </c>
      <c r="AB17" s="47">
        <v>0</v>
      </c>
      <c r="AC17" s="39" t="s">
        <v>106</v>
      </c>
      <c r="AD17" s="40">
        <v>0</v>
      </c>
      <c r="AE17" s="41" t="s">
        <v>105</v>
      </c>
      <c r="AF17" s="46">
        <v>0</v>
      </c>
      <c r="AG17" s="45">
        <v>0</v>
      </c>
      <c r="AH17" s="39" t="s">
        <v>106</v>
      </c>
      <c r="AI17" s="40">
        <v>0</v>
      </c>
      <c r="AJ17" s="41" t="s">
        <v>105</v>
      </c>
      <c r="AK17" s="46">
        <v>0</v>
      </c>
      <c r="AL17" s="38">
        <v>0</v>
      </c>
      <c r="AM17" s="39" t="s">
        <v>106</v>
      </c>
      <c r="AN17" s="40">
        <v>0</v>
      </c>
      <c r="AO17" s="41" t="s">
        <v>105</v>
      </c>
      <c r="AP17" s="83">
        <v>0</v>
      </c>
      <c r="AQ17" s="84"/>
      <c r="AR17" s="285"/>
    </row>
    <row r="18" spans="2:44" ht="10.5">
      <c r="B18" s="30" t="s">
        <v>93</v>
      </c>
      <c r="C18" s="31">
        <v>0.25</v>
      </c>
      <c r="D18" s="32" t="s">
        <v>106</v>
      </c>
      <c r="E18" s="33">
        <v>1</v>
      </c>
      <c r="F18" s="34" t="s">
        <v>105</v>
      </c>
      <c r="G18" s="35">
        <v>4</v>
      </c>
      <c r="H18" s="36">
        <v>0.2</v>
      </c>
      <c r="I18" s="32" t="s">
        <v>106</v>
      </c>
      <c r="J18" s="33">
        <v>1</v>
      </c>
      <c r="K18" s="34" t="s">
        <v>105</v>
      </c>
      <c r="L18" s="35">
        <v>3</v>
      </c>
      <c r="M18" s="45">
        <v>0</v>
      </c>
      <c r="N18" s="39" t="s">
        <v>106</v>
      </c>
      <c r="O18" s="40">
        <v>0</v>
      </c>
      <c r="P18" s="41" t="s">
        <v>105</v>
      </c>
      <c r="Q18" s="46">
        <v>0</v>
      </c>
      <c r="R18" s="45">
        <v>0</v>
      </c>
      <c r="S18" s="39" t="s">
        <v>106</v>
      </c>
      <c r="T18" s="40">
        <v>0</v>
      </c>
      <c r="U18" s="41" t="s">
        <v>105</v>
      </c>
      <c r="V18" s="46">
        <v>0</v>
      </c>
      <c r="W18" s="38">
        <v>0</v>
      </c>
      <c r="X18" s="39" t="s">
        <v>106</v>
      </c>
      <c r="Y18" s="40">
        <v>0</v>
      </c>
      <c r="Z18" s="41" t="s">
        <v>105</v>
      </c>
      <c r="AA18" s="42">
        <v>0</v>
      </c>
      <c r="AB18" s="47">
        <v>0</v>
      </c>
      <c r="AC18" s="39" t="s">
        <v>106</v>
      </c>
      <c r="AD18" s="40">
        <v>0</v>
      </c>
      <c r="AE18" s="41" t="s">
        <v>105</v>
      </c>
      <c r="AF18" s="46">
        <v>0</v>
      </c>
      <c r="AG18" s="45">
        <v>0</v>
      </c>
      <c r="AH18" s="39" t="s">
        <v>106</v>
      </c>
      <c r="AI18" s="40">
        <v>0</v>
      </c>
      <c r="AJ18" s="41" t="s">
        <v>105</v>
      </c>
      <c r="AK18" s="46">
        <v>0</v>
      </c>
      <c r="AL18" s="38">
        <v>0</v>
      </c>
      <c r="AM18" s="39" t="s">
        <v>106</v>
      </c>
      <c r="AN18" s="40">
        <v>0</v>
      </c>
      <c r="AO18" s="41" t="s">
        <v>105</v>
      </c>
      <c r="AP18" s="83">
        <v>0</v>
      </c>
      <c r="AQ18" s="84"/>
      <c r="AR18" s="285"/>
    </row>
    <row r="19" spans="2:44" ht="10.5">
      <c r="B19" s="30" t="s">
        <v>94</v>
      </c>
      <c r="C19" s="47">
        <v>0</v>
      </c>
      <c r="D19" s="39" t="s">
        <v>106</v>
      </c>
      <c r="E19" s="40">
        <v>0</v>
      </c>
      <c r="F19" s="41" t="s">
        <v>105</v>
      </c>
      <c r="G19" s="46">
        <v>0</v>
      </c>
      <c r="H19" s="36">
        <v>0.3</v>
      </c>
      <c r="I19" s="32" t="s">
        <v>106</v>
      </c>
      <c r="J19" s="33">
        <v>1</v>
      </c>
      <c r="K19" s="34" t="s">
        <v>105</v>
      </c>
      <c r="L19" s="35">
        <v>6</v>
      </c>
      <c r="M19" s="37">
        <v>0.25</v>
      </c>
      <c r="N19" s="32" t="s">
        <v>106</v>
      </c>
      <c r="O19" s="33">
        <v>1</v>
      </c>
      <c r="P19" s="34" t="s">
        <v>105</v>
      </c>
      <c r="Q19" s="35">
        <v>2</v>
      </c>
      <c r="R19" s="45">
        <v>0</v>
      </c>
      <c r="S19" s="39" t="s">
        <v>106</v>
      </c>
      <c r="T19" s="40">
        <v>0</v>
      </c>
      <c r="U19" s="41" t="s">
        <v>105</v>
      </c>
      <c r="V19" s="46">
        <v>0</v>
      </c>
      <c r="W19" s="38">
        <v>0</v>
      </c>
      <c r="X19" s="39" t="s">
        <v>106</v>
      </c>
      <c r="Y19" s="40">
        <v>0</v>
      </c>
      <c r="Z19" s="41" t="s">
        <v>105</v>
      </c>
      <c r="AA19" s="42">
        <v>0</v>
      </c>
      <c r="AB19" s="47">
        <v>0</v>
      </c>
      <c r="AC19" s="39" t="s">
        <v>106</v>
      </c>
      <c r="AD19" s="40">
        <v>0</v>
      </c>
      <c r="AE19" s="41" t="s">
        <v>105</v>
      </c>
      <c r="AF19" s="46">
        <v>0</v>
      </c>
      <c r="AG19" s="45">
        <v>0</v>
      </c>
      <c r="AH19" s="39" t="s">
        <v>106</v>
      </c>
      <c r="AI19" s="40">
        <v>0</v>
      </c>
      <c r="AJ19" s="41" t="s">
        <v>105</v>
      </c>
      <c r="AK19" s="46">
        <v>0</v>
      </c>
      <c r="AL19" s="38">
        <v>0</v>
      </c>
      <c r="AM19" s="39" t="s">
        <v>106</v>
      </c>
      <c r="AN19" s="40">
        <v>0</v>
      </c>
      <c r="AO19" s="41" t="s">
        <v>105</v>
      </c>
      <c r="AP19" s="83">
        <v>0</v>
      </c>
      <c r="AQ19" s="84"/>
      <c r="AR19" s="285"/>
    </row>
    <row r="20" spans="2:44" ht="10.5">
      <c r="B20" s="30" t="s">
        <v>95</v>
      </c>
      <c r="C20" s="47">
        <v>0</v>
      </c>
      <c r="D20" s="39" t="s">
        <v>106</v>
      </c>
      <c r="E20" s="40">
        <v>0</v>
      </c>
      <c r="F20" s="41" t="s">
        <v>105</v>
      </c>
      <c r="G20" s="46">
        <v>0</v>
      </c>
      <c r="H20" s="38">
        <v>0</v>
      </c>
      <c r="I20" s="39" t="s">
        <v>106</v>
      </c>
      <c r="J20" s="40">
        <v>0</v>
      </c>
      <c r="K20" s="41" t="s">
        <v>105</v>
      </c>
      <c r="L20" s="46">
        <v>0</v>
      </c>
      <c r="M20" s="45">
        <v>0</v>
      </c>
      <c r="N20" s="39" t="s">
        <v>106</v>
      </c>
      <c r="O20" s="40">
        <v>0</v>
      </c>
      <c r="P20" s="41" t="s">
        <v>105</v>
      </c>
      <c r="Q20" s="46">
        <v>0</v>
      </c>
      <c r="R20" s="45">
        <v>0</v>
      </c>
      <c r="S20" s="39" t="s">
        <v>106</v>
      </c>
      <c r="T20" s="40">
        <v>0</v>
      </c>
      <c r="U20" s="41" t="s">
        <v>105</v>
      </c>
      <c r="V20" s="46">
        <v>0</v>
      </c>
      <c r="W20" s="38">
        <v>0</v>
      </c>
      <c r="X20" s="39" t="s">
        <v>106</v>
      </c>
      <c r="Y20" s="40">
        <v>0</v>
      </c>
      <c r="Z20" s="41" t="s">
        <v>105</v>
      </c>
      <c r="AA20" s="42">
        <v>0</v>
      </c>
      <c r="AB20" s="31">
        <v>0.5</v>
      </c>
      <c r="AC20" s="32" t="s">
        <v>106</v>
      </c>
      <c r="AD20" s="33">
        <v>1</v>
      </c>
      <c r="AE20" s="34" t="s">
        <v>105</v>
      </c>
      <c r="AF20" s="35">
        <v>4</v>
      </c>
      <c r="AG20" s="45">
        <v>0</v>
      </c>
      <c r="AH20" s="39" t="s">
        <v>106</v>
      </c>
      <c r="AI20" s="40">
        <v>0</v>
      </c>
      <c r="AJ20" s="41" t="s">
        <v>105</v>
      </c>
      <c r="AK20" s="46">
        <v>0</v>
      </c>
      <c r="AL20" s="38">
        <v>0</v>
      </c>
      <c r="AM20" s="39" t="s">
        <v>106</v>
      </c>
      <c r="AN20" s="40">
        <v>0</v>
      </c>
      <c r="AO20" s="41" t="s">
        <v>105</v>
      </c>
      <c r="AP20" s="83">
        <v>0</v>
      </c>
      <c r="AQ20" s="84"/>
      <c r="AR20" s="285"/>
    </row>
    <row r="21" spans="2:44" ht="10.5">
      <c r="B21" s="30" t="s">
        <v>96</v>
      </c>
      <c r="C21" s="47">
        <v>0</v>
      </c>
      <c r="D21" s="39" t="s">
        <v>106</v>
      </c>
      <c r="E21" s="40">
        <v>0</v>
      </c>
      <c r="F21" s="41" t="s">
        <v>105</v>
      </c>
      <c r="G21" s="46">
        <v>0</v>
      </c>
      <c r="H21" s="38">
        <v>0</v>
      </c>
      <c r="I21" s="39" t="s">
        <v>106</v>
      </c>
      <c r="J21" s="40">
        <v>0</v>
      </c>
      <c r="K21" s="41" t="s">
        <v>105</v>
      </c>
      <c r="L21" s="46">
        <v>0</v>
      </c>
      <c r="M21" s="45">
        <v>0</v>
      </c>
      <c r="N21" s="39" t="s">
        <v>106</v>
      </c>
      <c r="O21" s="40">
        <v>0</v>
      </c>
      <c r="P21" s="41" t="s">
        <v>105</v>
      </c>
      <c r="Q21" s="46">
        <v>0</v>
      </c>
      <c r="R21" s="37">
        <v>0.4</v>
      </c>
      <c r="S21" s="32" t="s">
        <v>106</v>
      </c>
      <c r="T21" s="33">
        <v>2</v>
      </c>
      <c r="U21" s="34" t="s">
        <v>105</v>
      </c>
      <c r="V21" s="35">
        <v>8</v>
      </c>
      <c r="W21" s="36">
        <v>0.5</v>
      </c>
      <c r="X21" s="32" t="s">
        <v>106</v>
      </c>
      <c r="Y21" s="33">
        <v>10</v>
      </c>
      <c r="Z21" s="34" t="s">
        <v>105</v>
      </c>
      <c r="AA21" s="48">
        <v>60</v>
      </c>
      <c r="AB21" s="31">
        <v>0.55</v>
      </c>
      <c r="AC21" s="32" t="s">
        <v>106</v>
      </c>
      <c r="AD21" s="33">
        <v>4</v>
      </c>
      <c r="AE21" s="34" t="s">
        <v>105</v>
      </c>
      <c r="AF21" s="35">
        <v>32</v>
      </c>
      <c r="AG21" s="37">
        <v>0.45</v>
      </c>
      <c r="AH21" s="32" t="s">
        <v>106</v>
      </c>
      <c r="AI21" s="33">
        <v>1</v>
      </c>
      <c r="AJ21" s="34" t="s">
        <v>105</v>
      </c>
      <c r="AK21" s="35">
        <v>12</v>
      </c>
      <c r="AL21" s="38">
        <v>0</v>
      </c>
      <c r="AM21" s="39" t="s">
        <v>106</v>
      </c>
      <c r="AN21" s="40">
        <v>0</v>
      </c>
      <c r="AO21" s="41" t="s">
        <v>105</v>
      </c>
      <c r="AP21" s="83">
        <v>0</v>
      </c>
      <c r="AQ21" s="84"/>
      <c r="AR21" s="285"/>
    </row>
    <row r="22" spans="2:44" ht="10.5">
      <c r="B22" s="30" t="s">
        <v>97</v>
      </c>
      <c r="C22" s="47">
        <v>0</v>
      </c>
      <c r="D22" s="39" t="s">
        <v>106</v>
      </c>
      <c r="E22" s="40">
        <v>0</v>
      </c>
      <c r="F22" s="41" t="s">
        <v>105</v>
      </c>
      <c r="G22" s="46">
        <v>0</v>
      </c>
      <c r="H22" s="38">
        <v>0</v>
      </c>
      <c r="I22" s="39" t="s">
        <v>106</v>
      </c>
      <c r="J22" s="40">
        <v>0</v>
      </c>
      <c r="K22" s="41" t="s">
        <v>105</v>
      </c>
      <c r="L22" s="46">
        <v>0</v>
      </c>
      <c r="M22" s="45">
        <v>0</v>
      </c>
      <c r="N22" s="39" t="s">
        <v>106</v>
      </c>
      <c r="O22" s="40">
        <v>0</v>
      </c>
      <c r="P22" s="41" t="s">
        <v>105</v>
      </c>
      <c r="Q22" s="46">
        <v>0</v>
      </c>
      <c r="R22" s="45">
        <v>0</v>
      </c>
      <c r="S22" s="39" t="s">
        <v>106</v>
      </c>
      <c r="T22" s="40">
        <v>0</v>
      </c>
      <c r="U22" s="41" t="s">
        <v>105</v>
      </c>
      <c r="V22" s="46">
        <v>0</v>
      </c>
      <c r="W22" s="38">
        <v>0</v>
      </c>
      <c r="X22" s="39" t="s">
        <v>106</v>
      </c>
      <c r="Y22" s="40">
        <v>0</v>
      </c>
      <c r="Z22" s="41" t="s">
        <v>105</v>
      </c>
      <c r="AA22" s="42">
        <v>0</v>
      </c>
      <c r="AB22" s="47">
        <v>0</v>
      </c>
      <c r="AC22" s="39" t="s">
        <v>106</v>
      </c>
      <c r="AD22" s="40">
        <v>0</v>
      </c>
      <c r="AE22" s="41" t="s">
        <v>105</v>
      </c>
      <c r="AF22" s="46">
        <v>0</v>
      </c>
      <c r="AG22" s="45">
        <v>0</v>
      </c>
      <c r="AH22" s="39" t="s">
        <v>106</v>
      </c>
      <c r="AI22" s="40">
        <v>0</v>
      </c>
      <c r="AJ22" s="41" t="s">
        <v>105</v>
      </c>
      <c r="AK22" s="46">
        <v>0</v>
      </c>
      <c r="AL22" s="36">
        <v>0.4</v>
      </c>
      <c r="AM22" s="32" t="s">
        <v>106</v>
      </c>
      <c r="AN22" s="33">
        <v>2</v>
      </c>
      <c r="AO22" s="34" t="s">
        <v>105</v>
      </c>
      <c r="AP22" s="43">
        <v>8</v>
      </c>
      <c r="AQ22" s="44" t="s">
        <v>114</v>
      </c>
      <c r="AR22" s="285"/>
    </row>
    <row r="23" spans="2:44" ht="10.5">
      <c r="B23" s="30" t="s">
        <v>104</v>
      </c>
      <c r="C23" s="47">
        <v>0</v>
      </c>
      <c r="D23" s="39" t="s">
        <v>106</v>
      </c>
      <c r="E23" s="40">
        <v>0</v>
      </c>
      <c r="F23" s="41" t="s">
        <v>105</v>
      </c>
      <c r="G23" s="46">
        <v>0</v>
      </c>
      <c r="H23" s="38">
        <v>0</v>
      </c>
      <c r="I23" s="39" t="s">
        <v>106</v>
      </c>
      <c r="J23" s="40">
        <v>0</v>
      </c>
      <c r="K23" s="41" t="s">
        <v>105</v>
      </c>
      <c r="L23" s="46">
        <v>0</v>
      </c>
      <c r="M23" s="45">
        <v>0</v>
      </c>
      <c r="N23" s="39" t="s">
        <v>106</v>
      </c>
      <c r="O23" s="40">
        <v>0</v>
      </c>
      <c r="P23" s="41" t="s">
        <v>105</v>
      </c>
      <c r="Q23" s="46">
        <v>0</v>
      </c>
      <c r="R23" s="45">
        <v>0</v>
      </c>
      <c r="S23" s="39" t="s">
        <v>106</v>
      </c>
      <c r="T23" s="40">
        <v>0</v>
      </c>
      <c r="U23" s="41" t="s">
        <v>105</v>
      </c>
      <c r="V23" s="46">
        <v>0</v>
      </c>
      <c r="W23" s="38">
        <v>0</v>
      </c>
      <c r="X23" s="39" t="s">
        <v>106</v>
      </c>
      <c r="Y23" s="40">
        <v>0</v>
      </c>
      <c r="Z23" s="41" t="s">
        <v>105</v>
      </c>
      <c r="AA23" s="42">
        <v>0</v>
      </c>
      <c r="AB23" s="47">
        <v>0</v>
      </c>
      <c r="AC23" s="39" t="s">
        <v>106</v>
      </c>
      <c r="AD23" s="40">
        <v>0</v>
      </c>
      <c r="AE23" s="41" t="s">
        <v>105</v>
      </c>
      <c r="AF23" s="46">
        <v>0</v>
      </c>
      <c r="AG23" s="45">
        <v>0</v>
      </c>
      <c r="AH23" s="39" t="s">
        <v>106</v>
      </c>
      <c r="AI23" s="40">
        <v>0</v>
      </c>
      <c r="AJ23" s="41" t="s">
        <v>105</v>
      </c>
      <c r="AK23" s="46">
        <v>0</v>
      </c>
      <c r="AL23" s="36">
        <v>0.5</v>
      </c>
      <c r="AM23" s="32" t="s">
        <v>106</v>
      </c>
      <c r="AN23" s="33">
        <v>1</v>
      </c>
      <c r="AO23" s="34" t="s">
        <v>105</v>
      </c>
      <c r="AP23" s="43">
        <v>4</v>
      </c>
      <c r="AQ23" s="44" t="s">
        <v>115</v>
      </c>
      <c r="AR23" s="285"/>
    </row>
    <row r="24" spans="2:44" ht="21.75">
      <c r="B24" s="30" t="s">
        <v>98</v>
      </c>
      <c r="C24" s="47">
        <v>0</v>
      </c>
      <c r="D24" s="39" t="s">
        <v>106</v>
      </c>
      <c r="E24" s="40">
        <v>0</v>
      </c>
      <c r="F24" s="41" t="s">
        <v>105</v>
      </c>
      <c r="G24" s="46">
        <v>0</v>
      </c>
      <c r="H24" s="38">
        <v>0</v>
      </c>
      <c r="I24" s="39" t="s">
        <v>106</v>
      </c>
      <c r="J24" s="40">
        <v>0</v>
      </c>
      <c r="K24" s="41" t="s">
        <v>105</v>
      </c>
      <c r="L24" s="46">
        <v>0</v>
      </c>
      <c r="M24" s="45">
        <v>0</v>
      </c>
      <c r="N24" s="39" t="s">
        <v>106</v>
      </c>
      <c r="O24" s="40">
        <v>0</v>
      </c>
      <c r="P24" s="41" t="s">
        <v>105</v>
      </c>
      <c r="Q24" s="46">
        <v>0</v>
      </c>
      <c r="R24" s="45">
        <v>0</v>
      </c>
      <c r="S24" s="39" t="s">
        <v>106</v>
      </c>
      <c r="T24" s="40">
        <v>0</v>
      </c>
      <c r="U24" s="41" t="s">
        <v>105</v>
      </c>
      <c r="V24" s="46">
        <v>0</v>
      </c>
      <c r="W24" s="38">
        <v>0</v>
      </c>
      <c r="X24" s="39" t="s">
        <v>106</v>
      </c>
      <c r="Y24" s="40">
        <v>0</v>
      </c>
      <c r="Z24" s="41" t="s">
        <v>105</v>
      </c>
      <c r="AA24" s="42">
        <v>0</v>
      </c>
      <c r="AB24" s="31">
        <v>0.9</v>
      </c>
      <c r="AC24" s="32" t="s">
        <v>106</v>
      </c>
      <c r="AD24" s="33">
        <v>10</v>
      </c>
      <c r="AE24" s="34" t="s">
        <v>105</v>
      </c>
      <c r="AF24" s="35">
        <v>80</v>
      </c>
      <c r="AG24" s="37">
        <v>0.8</v>
      </c>
      <c r="AH24" s="32" t="s">
        <v>106</v>
      </c>
      <c r="AI24" s="33">
        <v>5</v>
      </c>
      <c r="AJ24" s="34" t="s">
        <v>105</v>
      </c>
      <c r="AK24" s="35">
        <v>30</v>
      </c>
      <c r="AL24" s="36">
        <v>0.7</v>
      </c>
      <c r="AM24" s="32" t="s">
        <v>106</v>
      </c>
      <c r="AN24" s="33"/>
      <c r="AO24" s="34" t="s">
        <v>105</v>
      </c>
      <c r="AP24" s="43"/>
      <c r="AQ24" s="44" t="s">
        <v>222</v>
      </c>
      <c r="AR24" s="285"/>
    </row>
    <row r="25" spans="2:44" ht="21.75">
      <c r="B25" s="30" t="s">
        <v>99</v>
      </c>
      <c r="C25" s="47">
        <v>0</v>
      </c>
      <c r="D25" s="39" t="s">
        <v>106</v>
      </c>
      <c r="E25" s="40">
        <v>0</v>
      </c>
      <c r="F25" s="41" t="s">
        <v>105</v>
      </c>
      <c r="G25" s="46">
        <v>0</v>
      </c>
      <c r="H25" s="38">
        <v>0</v>
      </c>
      <c r="I25" s="39" t="s">
        <v>106</v>
      </c>
      <c r="J25" s="40">
        <v>0</v>
      </c>
      <c r="K25" s="41" t="s">
        <v>105</v>
      </c>
      <c r="L25" s="46">
        <v>0</v>
      </c>
      <c r="M25" s="45">
        <v>0</v>
      </c>
      <c r="N25" s="39" t="s">
        <v>106</v>
      </c>
      <c r="O25" s="40">
        <v>0</v>
      </c>
      <c r="P25" s="41" t="s">
        <v>105</v>
      </c>
      <c r="Q25" s="46">
        <v>0</v>
      </c>
      <c r="R25" s="45">
        <v>0</v>
      </c>
      <c r="S25" s="39" t="s">
        <v>106</v>
      </c>
      <c r="T25" s="40">
        <v>0</v>
      </c>
      <c r="U25" s="41" t="s">
        <v>105</v>
      </c>
      <c r="V25" s="46">
        <v>0</v>
      </c>
      <c r="W25" s="38">
        <v>0</v>
      </c>
      <c r="X25" s="39" t="s">
        <v>106</v>
      </c>
      <c r="Y25" s="40">
        <v>0</v>
      </c>
      <c r="Z25" s="41" t="s">
        <v>105</v>
      </c>
      <c r="AA25" s="42">
        <v>0</v>
      </c>
      <c r="AB25" s="47">
        <v>0</v>
      </c>
      <c r="AC25" s="39" t="s">
        <v>106</v>
      </c>
      <c r="AD25" s="40">
        <v>0</v>
      </c>
      <c r="AE25" s="41" t="s">
        <v>105</v>
      </c>
      <c r="AF25" s="46">
        <v>0</v>
      </c>
      <c r="AG25" s="45">
        <v>0</v>
      </c>
      <c r="AH25" s="39" t="s">
        <v>106</v>
      </c>
      <c r="AI25" s="40">
        <v>0</v>
      </c>
      <c r="AJ25" s="41" t="s">
        <v>105</v>
      </c>
      <c r="AK25" s="46">
        <v>0</v>
      </c>
      <c r="AL25" s="36">
        <v>0.85</v>
      </c>
      <c r="AM25" s="32" t="s">
        <v>106</v>
      </c>
      <c r="AN25" s="33"/>
      <c r="AO25" s="34" t="s">
        <v>105</v>
      </c>
      <c r="AP25" s="43"/>
      <c r="AQ25" s="44" t="s">
        <v>223</v>
      </c>
      <c r="AR25" s="285"/>
    </row>
    <row r="26" spans="2:44" ht="10.5">
      <c r="B26" s="30" t="s">
        <v>100</v>
      </c>
      <c r="C26" s="47">
        <v>0</v>
      </c>
      <c r="D26" s="39" t="s">
        <v>106</v>
      </c>
      <c r="E26" s="40">
        <v>0</v>
      </c>
      <c r="F26" s="41" t="s">
        <v>105</v>
      </c>
      <c r="G26" s="46">
        <v>0</v>
      </c>
      <c r="H26" s="38">
        <v>0</v>
      </c>
      <c r="I26" s="39" t="s">
        <v>106</v>
      </c>
      <c r="J26" s="40">
        <v>0</v>
      </c>
      <c r="K26" s="41" t="s">
        <v>105</v>
      </c>
      <c r="L26" s="46">
        <v>0</v>
      </c>
      <c r="M26" s="45">
        <v>0</v>
      </c>
      <c r="N26" s="39" t="s">
        <v>106</v>
      </c>
      <c r="O26" s="40">
        <v>0</v>
      </c>
      <c r="P26" s="41" t="s">
        <v>105</v>
      </c>
      <c r="Q26" s="46">
        <v>0</v>
      </c>
      <c r="R26" s="37">
        <v>0.6</v>
      </c>
      <c r="S26" s="32" t="s">
        <v>106</v>
      </c>
      <c r="T26" s="33">
        <v>5</v>
      </c>
      <c r="U26" s="34" t="s">
        <v>105</v>
      </c>
      <c r="V26" s="35">
        <v>30</v>
      </c>
      <c r="W26" s="36">
        <v>0.15</v>
      </c>
      <c r="X26" s="32" t="s">
        <v>106</v>
      </c>
      <c r="Y26" s="33">
        <v>1</v>
      </c>
      <c r="Z26" s="34" t="s">
        <v>105</v>
      </c>
      <c r="AA26" s="48">
        <v>8</v>
      </c>
      <c r="AB26" s="31">
        <v>0.6</v>
      </c>
      <c r="AC26" s="32" t="s">
        <v>106</v>
      </c>
      <c r="AD26" s="33">
        <v>10</v>
      </c>
      <c r="AE26" s="34" t="s">
        <v>105</v>
      </c>
      <c r="AF26" s="35">
        <v>80</v>
      </c>
      <c r="AG26" s="37">
        <v>0.5</v>
      </c>
      <c r="AH26" s="32" t="s">
        <v>106</v>
      </c>
      <c r="AI26" s="33">
        <v>5</v>
      </c>
      <c r="AJ26" s="34" t="s">
        <v>105</v>
      </c>
      <c r="AK26" s="35">
        <v>40</v>
      </c>
      <c r="AL26" s="36">
        <v>0.55</v>
      </c>
      <c r="AM26" s="32" t="s">
        <v>106</v>
      </c>
      <c r="AN26" s="33">
        <v>1</v>
      </c>
      <c r="AO26" s="34" t="s">
        <v>105</v>
      </c>
      <c r="AP26" s="43">
        <v>1</v>
      </c>
      <c r="AQ26" s="44" t="s">
        <v>116</v>
      </c>
      <c r="AR26" s="285"/>
    </row>
    <row r="27" spans="2:44" ht="10.5">
      <c r="B27" s="30" t="s">
        <v>101</v>
      </c>
      <c r="C27" s="47">
        <v>0</v>
      </c>
      <c r="D27" s="39" t="s">
        <v>106</v>
      </c>
      <c r="E27" s="40">
        <v>0</v>
      </c>
      <c r="F27" s="41" t="s">
        <v>105</v>
      </c>
      <c r="G27" s="46">
        <v>0</v>
      </c>
      <c r="H27" s="38">
        <v>0</v>
      </c>
      <c r="I27" s="39" t="s">
        <v>106</v>
      </c>
      <c r="J27" s="40">
        <v>0</v>
      </c>
      <c r="K27" s="41" t="s">
        <v>105</v>
      </c>
      <c r="L27" s="46">
        <v>0</v>
      </c>
      <c r="M27" s="45">
        <v>0</v>
      </c>
      <c r="N27" s="39" t="s">
        <v>106</v>
      </c>
      <c r="O27" s="40">
        <v>0</v>
      </c>
      <c r="P27" s="41" t="s">
        <v>105</v>
      </c>
      <c r="Q27" s="46">
        <v>0</v>
      </c>
      <c r="R27" s="45">
        <v>0</v>
      </c>
      <c r="S27" s="39" t="s">
        <v>106</v>
      </c>
      <c r="T27" s="40">
        <v>0</v>
      </c>
      <c r="U27" s="41" t="s">
        <v>105</v>
      </c>
      <c r="V27" s="46">
        <v>0</v>
      </c>
      <c r="W27" s="38">
        <v>0</v>
      </c>
      <c r="X27" s="39" t="s">
        <v>106</v>
      </c>
      <c r="Y27" s="40">
        <v>0</v>
      </c>
      <c r="Z27" s="41" t="s">
        <v>105</v>
      </c>
      <c r="AA27" s="42">
        <v>0</v>
      </c>
      <c r="AB27" s="47">
        <v>0</v>
      </c>
      <c r="AC27" s="39" t="s">
        <v>106</v>
      </c>
      <c r="AD27" s="40">
        <v>0</v>
      </c>
      <c r="AE27" s="41" t="s">
        <v>105</v>
      </c>
      <c r="AF27" s="46">
        <v>0</v>
      </c>
      <c r="AG27" s="45">
        <v>0</v>
      </c>
      <c r="AH27" s="39" t="s">
        <v>106</v>
      </c>
      <c r="AI27" s="40">
        <v>0</v>
      </c>
      <c r="AJ27" s="41" t="s">
        <v>105</v>
      </c>
      <c r="AK27" s="46">
        <v>0</v>
      </c>
      <c r="AL27" s="36">
        <v>0.6</v>
      </c>
      <c r="AM27" s="32" t="s">
        <v>106</v>
      </c>
      <c r="AN27" s="33">
        <v>2</v>
      </c>
      <c r="AO27" s="34" t="s">
        <v>105</v>
      </c>
      <c r="AP27" s="43">
        <v>2</v>
      </c>
      <c r="AQ27" s="44" t="s">
        <v>121</v>
      </c>
      <c r="AR27" s="285"/>
    </row>
    <row r="28" spans="2:44" ht="10.5">
      <c r="B28" s="30" t="s">
        <v>102</v>
      </c>
      <c r="C28" s="47">
        <v>0</v>
      </c>
      <c r="D28" s="39" t="s">
        <v>106</v>
      </c>
      <c r="E28" s="40">
        <v>0</v>
      </c>
      <c r="F28" s="41" t="s">
        <v>105</v>
      </c>
      <c r="G28" s="46">
        <v>0</v>
      </c>
      <c r="H28" s="38">
        <v>0</v>
      </c>
      <c r="I28" s="39" t="s">
        <v>106</v>
      </c>
      <c r="J28" s="40">
        <v>0</v>
      </c>
      <c r="K28" s="41" t="s">
        <v>105</v>
      </c>
      <c r="L28" s="46">
        <v>0</v>
      </c>
      <c r="M28" s="45">
        <v>0</v>
      </c>
      <c r="N28" s="39" t="s">
        <v>106</v>
      </c>
      <c r="O28" s="40">
        <v>0</v>
      </c>
      <c r="P28" s="41" t="s">
        <v>105</v>
      </c>
      <c r="Q28" s="46">
        <v>0</v>
      </c>
      <c r="R28" s="37">
        <v>0.7</v>
      </c>
      <c r="S28" s="32" t="s">
        <v>106</v>
      </c>
      <c r="T28" s="33">
        <v>2</v>
      </c>
      <c r="U28" s="34" t="s">
        <v>105</v>
      </c>
      <c r="V28" s="35">
        <v>12</v>
      </c>
      <c r="W28" s="38">
        <v>0</v>
      </c>
      <c r="X28" s="39" t="s">
        <v>106</v>
      </c>
      <c r="Y28" s="40">
        <v>0</v>
      </c>
      <c r="Z28" s="41" t="s">
        <v>105</v>
      </c>
      <c r="AA28" s="42">
        <v>0</v>
      </c>
      <c r="AB28" s="47">
        <v>0</v>
      </c>
      <c r="AC28" s="39" t="s">
        <v>106</v>
      </c>
      <c r="AD28" s="40">
        <v>0</v>
      </c>
      <c r="AE28" s="41" t="s">
        <v>105</v>
      </c>
      <c r="AF28" s="46">
        <v>0</v>
      </c>
      <c r="AG28" s="45">
        <v>0</v>
      </c>
      <c r="AH28" s="39" t="s">
        <v>106</v>
      </c>
      <c r="AI28" s="40">
        <v>0</v>
      </c>
      <c r="AJ28" s="41" t="s">
        <v>105</v>
      </c>
      <c r="AK28" s="46">
        <v>0</v>
      </c>
      <c r="AL28" s="38">
        <v>0</v>
      </c>
      <c r="AM28" s="39" t="s">
        <v>106</v>
      </c>
      <c r="AN28" s="40">
        <v>0</v>
      </c>
      <c r="AO28" s="41" t="s">
        <v>105</v>
      </c>
      <c r="AP28" s="83">
        <v>0</v>
      </c>
      <c r="AQ28" s="84"/>
      <c r="AR28" s="285"/>
    </row>
    <row r="29" spans="2:44" ht="12" thickBot="1">
      <c r="B29" s="85" t="s">
        <v>103</v>
      </c>
      <c r="C29" s="86">
        <v>0.2</v>
      </c>
      <c r="D29" s="87" t="s">
        <v>106</v>
      </c>
      <c r="E29" s="88">
        <v>1</v>
      </c>
      <c r="F29" s="89" t="s">
        <v>105</v>
      </c>
      <c r="G29" s="90">
        <v>3</v>
      </c>
      <c r="H29" s="91">
        <v>0.25</v>
      </c>
      <c r="I29" s="87" t="s">
        <v>106</v>
      </c>
      <c r="J29" s="88">
        <v>1</v>
      </c>
      <c r="K29" s="89" t="s">
        <v>105</v>
      </c>
      <c r="L29" s="90">
        <v>4</v>
      </c>
      <c r="M29" s="92">
        <v>0.25</v>
      </c>
      <c r="N29" s="87" t="s">
        <v>106</v>
      </c>
      <c r="O29" s="88">
        <v>1</v>
      </c>
      <c r="P29" s="89" t="s">
        <v>105</v>
      </c>
      <c r="Q29" s="90">
        <v>4</v>
      </c>
      <c r="R29" s="92">
        <v>0.3</v>
      </c>
      <c r="S29" s="87" t="s">
        <v>106</v>
      </c>
      <c r="T29" s="88">
        <v>1</v>
      </c>
      <c r="U29" s="89" t="s">
        <v>105</v>
      </c>
      <c r="V29" s="90">
        <v>4</v>
      </c>
      <c r="W29" s="91">
        <v>0.3</v>
      </c>
      <c r="X29" s="87" t="s">
        <v>106</v>
      </c>
      <c r="Y29" s="88">
        <v>1</v>
      </c>
      <c r="Z29" s="89" t="s">
        <v>105</v>
      </c>
      <c r="AA29" s="93">
        <v>6</v>
      </c>
      <c r="AB29" s="86">
        <v>0.55</v>
      </c>
      <c r="AC29" s="87" t="s">
        <v>106</v>
      </c>
      <c r="AD29" s="88">
        <v>1</v>
      </c>
      <c r="AE29" s="89" t="s">
        <v>105</v>
      </c>
      <c r="AF29" s="90">
        <v>6</v>
      </c>
      <c r="AG29" s="92">
        <v>0.5</v>
      </c>
      <c r="AH29" s="87" t="s">
        <v>106</v>
      </c>
      <c r="AI29" s="88">
        <v>5</v>
      </c>
      <c r="AJ29" s="89" t="s">
        <v>105</v>
      </c>
      <c r="AK29" s="90">
        <v>30</v>
      </c>
      <c r="AL29" s="91">
        <v>0.5</v>
      </c>
      <c r="AM29" s="87" t="s">
        <v>106</v>
      </c>
      <c r="AN29" s="88">
        <v>3</v>
      </c>
      <c r="AO29" s="89" t="s">
        <v>105</v>
      </c>
      <c r="AP29" s="94">
        <v>3</v>
      </c>
      <c r="AQ29" s="95" t="s">
        <v>108</v>
      </c>
      <c r="AR29" s="286"/>
    </row>
  </sheetData>
  <mergeCells count="12">
    <mergeCell ref="AR4:AR12"/>
    <mergeCell ref="AR13:AR29"/>
    <mergeCell ref="R3:V3"/>
    <mergeCell ref="W3:AA3"/>
    <mergeCell ref="AB3:AF3"/>
    <mergeCell ref="AG3:AK3"/>
    <mergeCell ref="M3:Q3"/>
    <mergeCell ref="B2:B3"/>
    <mergeCell ref="AL3:AQ3"/>
    <mergeCell ref="C2:AA2"/>
    <mergeCell ref="C3:G3"/>
    <mergeCell ref="H3:L3"/>
  </mergeCells>
  <printOptions/>
  <pageMargins left="0.75" right="0.75" top="1" bottom="1" header="0.5" footer="0.5"/>
  <pageSetup horizontalDpi="2540" verticalDpi="254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>Kramer</Manager>
  <Company>Usherwood Adventures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Treasure Generator v2.0</dc:title>
  <dc:subject/>
  <dc:creator>Jim Kramer</dc:creator>
  <cp:keywords/>
  <dc:description/>
  <cp:lastModifiedBy>Jim Kramer</cp:lastModifiedBy>
  <dcterms:created xsi:type="dcterms:W3CDTF">2001-11-01T21:07:30Z</dcterms:created>
  <dcterms:modified xsi:type="dcterms:W3CDTF">2009-09-28T22:18:50Z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1912863646</vt:i4>
  </property>
  <property fmtid="{D5CDD505-2E9C-101B-9397-08002B2CF9AE}" pid="3" name="_EmailSubject">
    <vt:lpwstr/>
  </property>
  <property fmtid="{D5CDD505-2E9C-101B-9397-08002B2CF9AE}" pid="4" name="_AuthorEmail">
    <vt:lpwstr>jimkr@microsoft.com</vt:lpwstr>
  </property>
  <property fmtid="{D5CDD505-2E9C-101B-9397-08002B2CF9AE}" pid="5" name="_AuthorEmailDisplayName">
    <vt:lpwstr>Jim Kramer (PRESS)</vt:lpwstr>
  </property>
  <property fmtid="{D5CDD505-2E9C-101B-9397-08002B2CF9AE}" pid="6" name="_ReviewingToolsShownOnce">
    <vt:lpwstr/>
  </property>
</Properties>
</file>